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Смета по ТСН-2001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_xlnm.Print_Titles" localSheetId="0">'Смета по ТСН-2001'!$29:$29</definedName>
    <definedName name="_xlnm.Print_Area" localSheetId="0">'Смета по ТСН-2001'!$A$1:$K$90</definedName>
  </definedNames>
  <calcPr fullCalcOnLoad="1"/>
</workbook>
</file>

<file path=xl/sharedStrings.xml><?xml version="1.0" encoding="utf-8"?>
<sst xmlns="http://schemas.openxmlformats.org/spreadsheetml/2006/main" count="776" uniqueCount="187">
  <si>
    <t>Smeta.ru  (495) 974-1589</t>
  </si>
  <si>
    <t>_PS_</t>
  </si>
  <si>
    <t>Smeta.ru</t>
  </si>
  <si>
    <t/>
  </si>
  <si>
    <t>Новый объект</t>
  </si>
  <si>
    <t>ТСН-2001 Ремонт</t>
  </si>
  <si>
    <t>Сметные нормы списания</t>
  </si>
  <si>
    <t>Коды ОКП для ТСН-2001</t>
  </si>
  <si>
    <t>ТСН 2001- Ремонт</t>
  </si>
  <si>
    <t>Типовой расчет для ТСН-2001 (Ремонт)</t>
  </si>
  <si>
    <t>ТСН-2001</t>
  </si>
  <si>
    <t>Поправки для ТСН-2001</t>
  </si>
  <si>
    <t>Новая локальная смета</t>
  </si>
  <si>
    <t>{2BC35061-5401-4298-8CFC-2DBFE2BBF240}</t>
  </si>
  <si>
    <t>1</t>
  </si>
  <si>
    <t>6.62-31-1</t>
  </si>
  <si>
    <t>РАСЧИСТКА ПОВЕРХНОСТЕЙ ОТ СТАРЫХ ПОКРАСОК (ШПАТЕЛЕМ, ЩЕТКАМИ И Т.Д.)</t>
  </si>
  <si>
    <t>м2</t>
  </si>
  <si>
    <t>ТСН-2001.6. База. Сб.62, т.31, поз.1</t>
  </si>
  <si>
    <t>Ремонтно-строительные работы</t>
  </si>
  <si>
    <t>ТСН-2001.6-62. 62-31...62-41</t>
  </si>
  <si>
    <t>ТСН-2001.6-62-13</t>
  </si>
  <si>
    <t>2</t>
  </si>
  <si>
    <t>6.61-2-7</t>
  </si>
  <si>
    <t>РЕМОНТ ШТУКАТУРКИ ВНУТРЕННИХ СТЕН ПО КАМНЮ И БЕТОНУ ЦЕМЕНТНО-ИЗВЕСТКОВЫМ РАСТВОРОМ ПРИ ПЛОЩАДИ ДО 1 М2 ТОЛЩИНОЙ СЛОЯ ДО 20 ММ</t>
  </si>
  <si>
    <t>100 м2</t>
  </si>
  <si>
    <t>ТСН-2001.6. База. Сб.61, т.2, поз.7</t>
  </si>
  <si>
    <t>ТСН-2001.6-61. 61-1...61-9</t>
  </si>
  <si>
    <t>ТСН-2001.6-61-1</t>
  </si>
  <si>
    <t>2,1</t>
  </si>
  <si>
    <t>1.3-2-13</t>
  </si>
  <si>
    <t>РАСТВОРЫ ЦЕМЕНТНО-ИЗВЕСТКОВЫЕ, МАРКА 75</t>
  </si>
  <si>
    <t>м3</t>
  </si>
  <si>
    <t>ТСН-2001.1. Доп.14. Р.3, о.2, поз.13</t>
  </si>
  <si>
    <t>3</t>
  </si>
  <si>
    <t>3.15-106-4</t>
  </si>
  <si>
    <t>ОКЛЕЙКА ТКАНЯМИ СТЕН</t>
  </si>
  <si>
    <t>ТСН-2001.3. База. Сб.15, т.106, поз.4</t>
  </si>
  <si>
    <t>)*1,25</t>
  </si>
  <si>
    <t>)*1,15</t>
  </si>
  <si>
    <t>Строительные работы</t>
  </si>
  <si>
    <t>ТСН-2001.3-15. 15-91-3, 15-91-4, 15-92...15-115</t>
  </si>
  <si>
    <t>ТСН-2001.3-15-9</t>
  </si>
  <si>
    <t>3,1</t>
  </si>
  <si>
    <t>1.1-1-656</t>
  </si>
  <si>
    <t>МИТКАЛЬ (СЕРПЯНКА)</t>
  </si>
  <si>
    <t>ТСН-2001.1. База. Р.1, о.1, поз.656</t>
  </si>
  <si>
    <t>4</t>
  </si>
  <si>
    <t>3.15-96-3</t>
  </si>
  <si>
    <t>УЛУЧШЕННАЯ ОКРАСКА ПОЛИВИНИЛАЦЕТАТНЫМИ ВОДОЭМУЛЬСИОННЫМИ СОСТАВАМИ ПО ШТУКАТУРКЕ СТЕН</t>
  </si>
  <si>
    <t>ТСН-2001.3. База. Сб.15, т.96, поз.3</t>
  </si>
  <si>
    <t>4,1</t>
  </si>
  <si>
    <t>1.1-1-1485</t>
  </si>
  <si>
    <t>ШПАТЛЕВКА ПВА</t>
  </si>
  <si>
    <t>т</t>
  </si>
  <si>
    <t>ТСН-2001.1. База. Р.1, о.1, поз.1485</t>
  </si>
  <si>
    <t>4,2</t>
  </si>
  <si>
    <t>1.1-1-773</t>
  </si>
  <si>
    <t>ПИГМЕНТЫ СУХИЕ ДЛЯ КРАСОК, КРОН СВИНЦОВЫЙ</t>
  </si>
  <si>
    <t>кг</t>
  </si>
  <si>
    <t>4,3</t>
  </si>
  <si>
    <t>1.1-1-2844</t>
  </si>
  <si>
    <t>КРАСКА ВОДНО-ДИСПЕРСИОННАЯ СИЛИКОН-АКРИЛАТНАЯ ДЛЯ ФИНИШНОЙ ОТДЕЛКИ ПОВЕРХНОСТЕЙ, МАРКА "GAMADEKOR SA" (ФИРМА "STOMIX")</t>
  </si>
  <si>
    <t>ТСН-2001.1. Д.3. Р.1, о.1, поз.2844</t>
  </si>
  <si>
    <t>5</t>
  </si>
  <si>
    <t>3.8-28-1</t>
  </si>
  <si>
    <t>УСТАНОВКА И РАЗБОРКА ИНВЕНТАРНЫХ ЛЕСОВ ВНУТРЕННИХ ТРУБЧАТЫХ ПРИ ВЫСОТЕ ПОМЕЩЕНИЙ ДО 6 М (БЕЗ ЗАТРАТ ПО ЭКСПЛУАТАЦИИ ЛЕСОВ)</t>
  </si>
  <si>
    <t>ТСН-2001.3. База. Сб.8, т.28, поз.1</t>
  </si>
  <si>
    <t>ТСН-2001.3-8. 8-27, 8-28</t>
  </si>
  <si>
    <t>ТСН-2001.3-8-6</t>
  </si>
  <si>
    <t>ПЗ</t>
  </si>
  <si>
    <t>Прямые затраты</t>
  </si>
  <si>
    <t>СтМат</t>
  </si>
  <si>
    <t>Стоимость материальных ресурсов</t>
  </si>
  <si>
    <t>СтМатЗак</t>
  </si>
  <si>
    <t>Стоимость материалов заказчика</t>
  </si>
  <si>
    <t>Оборуд</t>
  </si>
  <si>
    <t>Стоимость оборудования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</si>
  <si>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</si>
  <si>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</si>
  <si>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</si>
  <si>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</si>
  <si>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</si>
  <si>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</si>
  <si>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</si>
  <si>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</si>
  <si>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</si>
  <si>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</si>
  <si>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</si>
  <si>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</si>
  <si>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</si>
  <si>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</si>
  <si>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</si>
  <si>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</si>
  <si>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</si>
  <si>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</si>
  <si>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Итого по смете</t>
  </si>
  <si>
    <t>Итого по локальной смете</t>
  </si>
  <si>
    <t>НДС</t>
  </si>
  <si>
    <t>НДС 18%</t>
  </si>
  <si>
    <t>Всего</t>
  </si>
  <si>
    <t>Всего по смете</t>
  </si>
  <si>
    <t>9999990008</t>
  </si>
  <si>
    <t>ТРУДОЗАТРАТЫ РАБОЧИХ (ЭСН)</t>
  </si>
  <si>
    <t>чел.-ч.</t>
  </si>
  <si>
    <t>1.0-0-0</t>
  </si>
  <si>
    <t>МАССА МУСОРА</t>
  </si>
  <si>
    <t>1.1-1-181</t>
  </si>
  <si>
    <t>ТСН-2001.1. База. Р.1, о.1, поз.181</t>
  </si>
  <si>
    <t>ДИСПЕРСИЯ ПОЛИВИНИЛАЦЕТАТНАЯ, ГОМОПОЛИМЕРНАЯ, ГРУБОДИСПЕРСНАЯ, ПЛАСТИФИЦИРОВАННАЯ, (ЭМУЛЬСИЯ ПОЛИВИНИЛАЦЕТАТНАЯ), МАРКА ДБ</t>
  </si>
  <si>
    <t>2.0-0-0</t>
  </si>
  <si>
    <t>СТОИМОСТЬ ПРОЧИХ МАШИН (ЭСН)</t>
  </si>
  <si>
    <t>руб.</t>
  </si>
  <si>
    <t>СТОИМОСТЬ ПРОЧИХ МАТЕРИАЛОВ (ЭСН)</t>
  </si>
  <si>
    <t>1.1-1-221</t>
  </si>
  <si>
    <t>ТСН-2001.1. База. Р.1, о.1, поз.221</t>
  </si>
  <si>
    <t>ДОСКИ ХВОЙНЫХ ПОРОД, ОБРЕЗНЫЕ, ДЛИНА 2-6,5 М, СОРТ II, ТОЛЩИНА 25-32 ММ</t>
  </si>
  <si>
    <t>5745520000</t>
  </si>
  <si>
    <t>РАСТВОР ЦЕМЕНТНО-ИЗВЕСТКОВЫЙ МАРКИ 75</t>
  </si>
  <si>
    <t>8211110000</t>
  </si>
  <si>
    <t>МИТКАЛЬ</t>
  </si>
  <si>
    <t>2312940000</t>
  </si>
  <si>
    <t>ШПАТЛЕВКА УНИВЕРСАЛЬНАЯ</t>
  </si>
  <si>
    <t>2322000000</t>
  </si>
  <si>
    <t>ПИГМЕНТЫ ЦВЕТНЫЕ</t>
  </si>
  <si>
    <t>2388410000</t>
  </si>
  <si>
    <t>КРАСКИ ВОДНО-ДИСПЕРСИОННЫЕ ПОЛИВИНИЛАЦЕТАТНЫЕ</t>
  </si>
  <si>
    <t>Форма № 1</t>
  </si>
  <si>
    <t>"СОГЛАСОВАНО"</t>
  </si>
  <si>
    <t>"УТВЕРЖДАЮ"</t>
  </si>
  <si>
    <t>"_____"________________200___ г.</t>
  </si>
  <si>
    <t>(локальный сметный расчет)</t>
  </si>
  <si>
    <t xml:space="preserve">  на</t>
  </si>
  <si>
    <t>(наименование работ и затрат, наименование объекта)</t>
  </si>
  <si>
    <t>Сметная стоимость</t>
  </si>
  <si>
    <t>тыс.руб</t>
  </si>
  <si>
    <t>Средства на оплату труда</t>
  </si>
  <si>
    <t>Составлен(а) в уровне текущих (прогнозных) цен на</t>
  </si>
  <si>
    <t>г.</t>
  </si>
  <si>
    <t>№</t>
  </si>
  <si>
    <t>п/п</t>
  </si>
  <si>
    <t>Шифр</t>
  </si>
  <si>
    <t>расценки</t>
  </si>
  <si>
    <t>и коды</t>
  </si>
  <si>
    <t>ресурсов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</si>
  <si>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</si>
  <si>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</si>
  <si>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</si>
  <si>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</si>
  <si>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</si>
  <si>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</si>
  <si>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</si>
  <si>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на ед.</t>
  </si>
  <si>
    <t>изм.</t>
  </si>
  <si>
    <t>Коэффициенты</t>
  </si>
  <si>
    <t>попра-</t>
  </si>
  <si>
    <t>вочные</t>
  </si>
  <si>
    <t>зимних</t>
  </si>
  <si>
    <t>удоро-</t>
  </si>
  <si>
    <t>жаний</t>
  </si>
  <si>
    <t>перес-</t>
  </si>
  <si>
    <t>чета</t>
  </si>
  <si>
    <t>ВСЕГО</t>
  </si>
  <si>
    <t>затрат,</t>
  </si>
  <si>
    <t>Справочно</t>
  </si>
  <si>
    <t>ЗТР, всего</t>
  </si>
  <si>
    <t>чел.-час</t>
  </si>
  <si>
    <t>Ст-ть ед.</t>
  </si>
  <si>
    <t>с начислен.</t>
  </si>
  <si>
    <t>ЗП</t>
  </si>
  <si>
    <t>НР от ЗП</t>
  </si>
  <si>
    <t>%</t>
  </si>
  <si>
    <t>СП от ЗП</t>
  </si>
  <si>
    <t>ЗТР</t>
  </si>
  <si>
    <t>чел-ч</t>
  </si>
  <si>
    <t>МР</t>
  </si>
  <si>
    <t>ЭМ</t>
  </si>
  <si>
    <t>в т.ч. ЗПМ</t>
  </si>
  <si>
    <t>НР и СП от ЗПМ</t>
  </si>
  <si>
    <t>Итого</t>
  </si>
  <si>
    <t>Итого по объекту</t>
  </si>
  <si>
    <t>Составил</t>
  </si>
  <si>
    <t>[должность,подпись(инициалы,фамилия)]</t>
  </si>
  <si>
    <t>Проверил:</t>
  </si>
  <si>
    <t>Демонтаж горючей краски с последующей окраской негорючими материалами в СОШ</t>
  </si>
  <si>
    <t>С учетом примененного коэффициента 0,9%</t>
  </si>
  <si>
    <t>Итого с учетом тендерного снижения 4,5%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</si>
</sst>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\ #,##0.00"/>
    <numFmt numFmtId="173" formatCode="mmmm"/>
    <numFmt numFmtId="174" formatCode="0.0000000000"/>
    <numFmt numFmtId="175" formatCode="[$-FC19]d\ mmmm\ yyyy\ &quot;г.&quot;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u val="single"/>
      <sz val="14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Times New Roman Cyr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172" fontId="0" fillId="0" borderId="0" xfId="0" applyNumberFormat="1" applyAlignment="1">
      <alignment/>
    </xf>
    <xf numFmtId="172" fontId="9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13" fillId="0" borderId="0" xfId="0" applyFont="1" applyAlignment="1">
      <alignment horizontal="right" wrapText="1"/>
    </xf>
    <xf numFmtId="0" fontId="16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/>
    </xf>
    <xf numFmtId="172" fontId="14" fillId="0" borderId="0" xfId="0" applyNumberFormat="1" applyFont="1" applyAlignment="1">
      <alignment/>
    </xf>
    <xf numFmtId="172" fontId="9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0" fillId="0" borderId="10" xfId="0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 wrapText="1"/>
    </xf>
    <xf numFmtId="172" fontId="16" fillId="0" borderId="0" xfId="0" applyNumberFormat="1" applyFont="1" applyAlignment="1">
      <alignment horizontal="right"/>
    </xf>
    <xf numFmtId="174" fontId="56" fillId="33" borderId="0" xfId="0" applyNumberFormat="1" applyFont="1" applyFill="1" applyAlignment="1">
      <alignment/>
    </xf>
    <xf numFmtId="0" fontId="57" fillId="33" borderId="0" xfId="0" applyFont="1" applyFill="1" applyAlignment="1">
      <alignment/>
    </xf>
    <xf numFmtId="0" fontId="0" fillId="0" borderId="0" xfId="0" applyFont="1" applyAlignment="1">
      <alignment horizontal="left" wrapText="1"/>
    </xf>
    <xf numFmtId="4" fontId="19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2" fontId="1" fillId="0" borderId="18" xfId="0" applyNumberFormat="1" applyFont="1" applyBorder="1" applyAlignment="1">
      <alignment horizontal="right"/>
    </xf>
    <xf numFmtId="172" fontId="1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172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15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90"/>
  <sheetViews>
    <sheetView tabSelected="1" zoomScalePageLayoutView="0" workbookViewId="0" topLeftCell="A76">
      <selection activeCell="J24" sqref="J24"/>
    </sheetView>
  </sheetViews>
  <sheetFormatPr defaultColWidth="9.140625" defaultRowHeight="12.75"/>
  <cols>
    <col min="1" max="1" width="4.7109375" style="0" customWidth="1"/>
    <col min="2" max="2" width="12.28125" style="0" customWidth="1"/>
    <col min="3" max="3" width="30.7109375" style="0" customWidth="1"/>
    <col min="4" max="4" width="10.7109375" style="0" customWidth="1"/>
    <col min="7" max="8" width="9.7109375" style="0" customWidth="1"/>
    <col min="9" max="9" width="10.7109375" style="0" customWidth="1"/>
    <col min="10" max="10" width="9.7109375" style="0" customWidth="1"/>
    <col min="11" max="11" width="12.421875" style="0" customWidth="1"/>
    <col min="12" max="26" width="0" style="0" hidden="1" customWidth="1"/>
    <col min="27" max="27" width="120.140625" style="0" hidden="1" customWidth="1"/>
    <col min="28" max="28" width="2.421875" style="0" customWidth="1"/>
  </cols>
  <sheetData>
    <row r="1" s="4" customFormat="1" ht="11.25"/>
    <row r="2" s="4" customFormat="1" ht="11.25">
      <c r="K2" s="4" t="s">
        <v>127</v>
      </c>
    </row>
    <row r="3" spans="1:9" s="5" customFormat="1" ht="15">
      <c r="A3" s="5" t="s">
        <v>128</v>
      </c>
      <c r="F3" s="46" t="s">
        <v>129</v>
      </c>
      <c r="G3" s="46"/>
      <c r="H3" s="46"/>
      <c r="I3" s="46"/>
    </row>
    <row r="5" spans="1:11" ht="12.75">
      <c r="A5" s="47">
        <f>Source!AS12</f>
      </c>
      <c r="B5" s="47"/>
      <c r="C5" s="47">
        <f>Source!CH12</f>
      </c>
      <c r="D5" s="47"/>
      <c r="E5" s="7"/>
      <c r="F5" s="47">
        <f>Source!AR12</f>
      </c>
      <c r="G5" s="47"/>
      <c r="H5" s="47"/>
      <c r="I5" s="47">
        <f>Source!CG12</f>
      </c>
      <c r="J5" s="47"/>
      <c r="K5" s="47"/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8"/>
      <c r="B7" s="8"/>
      <c r="C7" s="47">
        <f>Source!M12</f>
      </c>
      <c r="D7" s="47"/>
      <c r="E7" s="7"/>
      <c r="F7" s="8"/>
      <c r="G7" s="8"/>
      <c r="H7" s="47">
        <f>Source!L12</f>
      </c>
      <c r="I7" s="47"/>
      <c r="J7" s="47"/>
      <c r="K7" s="47"/>
    </row>
    <row r="8" spans="1:1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6" s="5" customFormat="1" ht="15">
      <c r="A9" s="5" t="s">
        <v>130</v>
      </c>
      <c r="F9" s="5" t="s">
        <v>130</v>
      </c>
    </row>
    <row r="13" spans="1:27" ht="15">
      <c r="A13" s="48" t="str">
        <f>CONCATENATE("ЛОКАЛЬНАЯ СМЕТА №  ",Source!F20)</f>
        <v>ЛОКАЛЬНАЯ СМЕТА №  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AA13" s="10" t="str">
        <f>CONCATENATE("ЛОКАЛЬНАЯ СМЕТА №  ",Source!F20)</f>
        <v>ЛОКАЛЬНАЯ СМЕТА №  </v>
      </c>
    </row>
    <row r="14" spans="1:11" ht="12.75">
      <c r="A14" s="50" t="s">
        <v>131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6" spans="1:27" ht="20.25" customHeight="1">
      <c r="A16" s="4" t="s">
        <v>132</v>
      </c>
      <c r="B16" s="51" t="str">
        <f>IF(Source!G12&lt;&gt;"",Source!G12,Source!F12)</f>
        <v>Демонтаж горючей краски с последующей окраской негорючими материалами в СОШ</v>
      </c>
      <c r="C16" s="51"/>
      <c r="D16" s="51"/>
      <c r="E16" s="51"/>
      <c r="F16" s="51"/>
      <c r="G16" s="51"/>
      <c r="H16" s="51"/>
      <c r="I16" s="51"/>
      <c r="J16" s="51"/>
      <c r="K16" s="51"/>
      <c r="AA16" s="11" t="str">
        <f>IF(Source!G12&lt;&gt;"",Source!G12,Source!F12)</f>
        <v>Демонтаж горючей краски с последующей окраской негорючими материалами в СОШ</v>
      </c>
    </row>
    <row r="17" spans="2:11" ht="12.75">
      <c r="B17" s="50" t="s">
        <v>133</v>
      </c>
      <c r="C17" s="49"/>
      <c r="D17" s="49"/>
      <c r="E17" s="49"/>
      <c r="F17" s="49"/>
      <c r="G17" s="49"/>
      <c r="H17" s="49"/>
      <c r="I17" s="49"/>
      <c r="J17" s="49"/>
      <c r="K17" s="49"/>
    </row>
    <row r="19" spans="1:27" ht="12.75">
      <c r="A19" s="52" t="str">
        <f>CONCATENATE("Основание: чертежи № ",Source!J20)</f>
        <v>Основание: чертежи № 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AA19" s="12" t="str">
        <f>CONCATENATE("Основание: чертежи № ",Source!J20)</f>
        <v>Основание: чертежи № </v>
      </c>
    </row>
    <row r="21" spans="7:11" ht="12.75">
      <c r="G21" s="4" t="s">
        <v>134</v>
      </c>
      <c r="J21" s="14">
        <v>68.35</v>
      </c>
      <c r="K21" s="6" t="s">
        <v>135</v>
      </c>
    </row>
    <row r="22" spans="7:11" ht="12.75">
      <c r="G22" s="4" t="s">
        <v>136</v>
      </c>
      <c r="J22" s="14">
        <f>((Source!F43+Source!F42)/1000)</f>
        <v>22.241949999999996</v>
      </c>
      <c r="K22" s="6" t="s">
        <v>135</v>
      </c>
    </row>
    <row r="23" spans="1:6" ht="12.75">
      <c r="A23" s="4" t="s">
        <v>137</v>
      </c>
      <c r="B23" s="4"/>
      <c r="C23" s="4"/>
      <c r="D23" s="15">
        <f>IF(AND(Source!P12&lt;&gt;0,Source!Q12&lt;&gt;0),DATE(Source!P12,Source!Q12,1),IF(Source!AF12=0,"",IF(Source!AN12=0,"",DATE(Source!AF12,Source!AN12,1))))</f>
        <v>40878</v>
      </c>
      <c r="E23" s="16">
        <f>IF(AND(Source!P12&lt;&gt;0,Source!Q12&lt;&gt;0),Source!P12,IF(Source!AF12=0,"",Source!AF12))</f>
        <v>2011</v>
      </c>
      <c r="F23" s="4" t="s">
        <v>138</v>
      </c>
    </row>
    <row r="24" spans="1:25" ht="12.75">
      <c r="A24" s="20"/>
      <c r="B24" s="20"/>
      <c r="C24" s="20"/>
      <c r="D24" s="20"/>
      <c r="E24" s="20"/>
      <c r="F24" s="19" t="s">
        <v>151</v>
      </c>
      <c r="G24" s="53" t="s">
        <v>154</v>
      </c>
      <c r="H24" s="54"/>
      <c r="I24" s="55"/>
      <c r="J24" s="19"/>
      <c r="K24" s="26" t="s">
        <v>164</v>
      </c>
      <c r="Y24">
        <v>-1</v>
      </c>
    </row>
    <row r="25" spans="1:11" ht="12.75">
      <c r="A25" s="17" t="s">
        <v>139</v>
      </c>
      <c r="B25" s="17" t="s">
        <v>141</v>
      </c>
      <c r="C25" s="21"/>
      <c r="D25" s="17" t="s">
        <v>146</v>
      </c>
      <c r="E25" s="17" t="s">
        <v>149</v>
      </c>
      <c r="F25" s="17" t="s">
        <v>152</v>
      </c>
      <c r="G25" s="19"/>
      <c r="H25" s="19" t="s">
        <v>157</v>
      </c>
      <c r="I25" s="19"/>
      <c r="J25" s="17" t="s">
        <v>162</v>
      </c>
      <c r="K25" s="24" t="s">
        <v>165</v>
      </c>
    </row>
    <row r="26" spans="1:11" ht="12.75">
      <c r="A26" s="17" t="s">
        <v>140</v>
      </c>
      <c r="B26" s="17" t="s">
        <v>142</v>
      </c>
      <c r="C26" s="17" t="s">
        <v>145</v>
      </c>
      <c r="D26" s="17" t="s">
        <v>147</v>
      </c>
      <c r="E26" s="17" t="s">
        <v>150</v>
      </c>
      <c r="F26" s="17" t="s">
        <v>153</v>
      </c>
      <c r="G26" s="17" t="s">
        <v>155</v>
      </c>
      <c r="H26" s="17" t="s">
        <v>158</v>
      </c>
      <c r="I26" s="17" t="s">
        <v>160</v>
      </c>
      <c r="J26" s="17" t="s">
        <v>163</v>
      </c>
      <c r="K26" s="25" t="s">
        <v>166</v>
      </c>
    </row>
    <row r="27" spans="1:11" ht="12.75">
      <c r="A27" s="21"/>
      <c r="B27" s="17" t="s">
        <v>143</v>
      </c>
      <c r="C27" s="21"/>
      <c r="D27" s="17" t="s">
        <v>148</v>
      </c>
      <c r="E27" s="21"/>
      <c r="F27" s="17" t="s">
        <v>112</v>
      </c>
      <c r="G27" s="17" t="s">
        <v>156</v>
      </c>
      <c r="H27" s="17" t="s">
        <v>159</v>
      </c>
      <c r="I27" s="17" t="s">
        <v>161</v>
      </c>
      <c r="J27" s="17" t="s">
        <v>112</v>
      </c>
      <c r="K27" s="24" t="s">
        <v>167</v>
      </c>
    </row>
    <row r="28" spans="1:11" ht="12.75">
      <c r="A28" s="22"/>
      <c r="B28" s="18" t="s">
        <v>144</v>
      </c>
      <c r="C28" s="22"/>
      <c r="D28" s="22"/>
      <c r="E28" s="22"/>
      <c r="F28" s="22"/>
      <c r="G28" s="18"/>
      <c r="H28" s="18"/>
      <c r="I28" s="18"/>
      <c r="J28" s="18"/>
      <c r="K28" s="25" t="s">
        <v>168</v>
      </c>
    </row>
    <row r="29" spans="1:11" ht="12.75">
      <c r="A29" s="23">
        <v>1</v>
      </c>
      <c r="B29" s="23">
        <v>2</v>
      </c>
      <c r="C29" s="23">
        <v>3</v>
      </c>
      <c r="D29" s="23">
        <v>4</v>
      </c>
      <c r="E29" s="23">
        <v>5</v>
      </c>
      <c r="F29" s="23">
        <v>6</v>
      </c>
      <c r="G29" s="23">
        <v>7</v>
      </c>
      <c r="H29" s="23">
        <v>8</v>
      </c>
      <c r="I29" s="23">
        <v>9</v>
      </c>
      <c r="J29" s="23">
        <v>10</v>
      </c>
      <c r="K29" s="23">
        <v>11</v>
      </c>
    </row>
    <row r="30" spans="1:25" ht="36">
      <c r="A30" s="27" t="str">
        <f>Source!E24</f>
        <v>1</v>
      </c>
      <c r="B30" s="27" t="str">
        <f>Source!F24</f>
        <v>6.62-31-1</v>
      </c>
      <c r="C30" s="12" t="str">
        <f>Source!G24</f>
        <v>РАСЧИСТКА ПОВЕРХНОСТЕЙ ОТ СТАРЫХ ПОКРАСОК (ШПАТЕЛЕМ, ЩЕТКАМИ И Т.Д.)</v>
      </c>
      <c r="D30" s="28" t="str">
        <f>Source!H24</f>
        <v>м2</v>
      </c>
      <c r="E30" s="6">
        <f>ROUND(Source!I24,6)</f>
        <v>100</v>
      </c>
      <c r="F30" s="6"/>
      <c r="G30" s="6"/>
      <c r="H30" s="6"/>
      <c r="I30" s="6"/>
      <c r="J30" s="6"/>
      <c r="K30" s="6"/>
      <c r="Y30">
        <v>1</v>
      </c>
    </row>
    <row r="31" spans="1:11" ht="12.75">
      <c r="A31" s="6"/>
      <c r="B31" s="6"/>
      <c r="C31" s="6" t="s">
        <v>169</v>
      </c>
      <c r="D31" s="6"/>
      <c r="E31" s="6"/>
      <c r="F31" s="14">
        <f>Source!AO24</f>
        <v>6.13</v>
      </c>
      <c r="G31" s="30">
        <f>Source!DG24</f>
      </c>
      <c r="H31" s="6">
        <f>Source!AV24</f>
        <v>1.025</v>
      </c>
      <c r="I31" s="6">
        <f>Source!BA24</f>
        <v>12.7</v>
      </c>
      <c r="J31" s="14">
        <f>Source!S24</f>
        <v>7979.73</v>
      </c>
      <c r="K31" s="6"/>
    </row>
    <row r="32" spans="1:11" ht="12.75">
      <c r="A32" s="6"/>
      <c r="B32" s="6"/>
      <c r="C32" s="6" t="s">
        <v>170</v>
      </c>
      <c r="D32" s="6" t="s">
        <v>171</v>
      </c>
      <c r="E32" s="6">
        <f>Source!AT24</f>
        <v>91</v>
      </c>
      <c r="F32" s="6"/>
      <c r="G32" s="6"/>
      <c r="H32" s="6"/>
      <c r="I32" s="6"/>
      <c r="J32" s="14">
        <f>Source!X24</f>
        <v>7261.55</v>
      </c>
      <c r="K32" s="6"/>
    </row>
    <row r="33" spans="1:11" ht="12.75">
      <c r="A33" s="6"/>
      <c r="B33" s="6"/>
      <c r="C33" s="6" t="s">
        <v>172</v>
      </c>
      <c r="D33" s="6" t="s">
        <v>171</v>
      </c>
      <c r="E33" s="6">
        <f>Source!AU24</f>
        <v>45</v>
      </c>
      <c r="F33" s="6"/>
      <c r="G33" s="6"/>
      <c r="H33" s="6"/>
      <c r="I33" s="6"/>
      <c r="J33" s="14">
        <f>Source!Y24</f>
        <v>3590.88</v>
      </c>
      <c r="K33" s="6"/>
    </row>
    <row r="34" spans="1:11" ht="12.75">
      <c r="A34" s="31"/>
      <c r="B34" s="31"/>
      <c r="C34" s="31" t="s">
        <v>173</v>
      </c>
      <c r="D34" s="31" t="s">
        <v>174</v>
      </c>
      <c r="E34" s="31">
        <f>Source!AQ24</f>
        <v>0.6</v>
      </c>
      <c r="F34" s="31"/>
      <c r="G34" s="32">
        <f>Source!DI24</f>
      </c>
      <c r="H34" s="31">
        <f>Source!AV24</f>
        <v>1.025</v>
      </c>
      <c r="I34" s="31"/>
      <c r="J34" s="31"/>
      <c r="K34" s="33">
        <f>Source!U24</f>
        <v>61.499999999999986</v>
      </c>
    </row>
    <row r="35" spans="9:24" ht="12.75">
      <c r="I35" s="56">
        <f>Source!S24+Source!Q24+SUM(J32:J33)</f>
        <v>18832.16</v>
      </c>
      <c r="J35" s="56"/>
      <c r="K35" s="34">
        <f>IF(Source!I24&lt;&gt;0,ROUND(I35/Source!I24,2),0)</f>
        <v>188.32</v>
      </c>
      <c r="N35" s="13">
        <f>I35</f>
        <v>18832.16</v>
      </c>
      <c r="O35">
        <f>ROUND(IF(Source!BI24=1,(ROUND((Source!CT24/IF(Source!BA24&lt;&gt;0,Source!BA24,1)*Source!I24),2)+ROUND((Source!CR24/IF(Source!BB24&lt;&gt;0,Source!BB24,1)*Source!I24),2)+ROUND((Source!CQ24/IF(Source!BC24&lt;&gt;0,Source!BC24,1)*Source!I24),2)+((Source!DN24/100)*ROUND((Source!CT24/IF(Source!BA24&lt;&gt;0,Source!BA24,1)*Source!I24),2))+((Source!DO24/100)*ROUND((Source!CT24/IF(Source!BA24&lt;&gt;0,Source!BA24,1)*Source!I24),2))+(ROUND((Source!CS24/IF(Source!BS24&lt;&gt;0,Source!BS24,1)*Source!I24),2)*1.75)),0),2)</f>
        <v>1658.79</v>
      </c>
      <c r="P35">
        <f>ROUND(IF(Source!BI24=2,(ROUND((Source!CT24/IF(Source!BA24&lt;&gt;0,Source!BA24,1)*Source!I24),2)+ROUND((Source!CR24/IF(Source!BB24&lt;&gt;0,Source!BB24,1)*Source!I24),2)+ROUND((Source!CQ24/IF(Source!BC24&lt;&gt;0,Source!BC24,1)*Source!I24),2)+((Source!DN24/100)*ROUND((Source!CT24/IF(Source!BA24&lt;&gt;0,Source!BA24,1)*Source!I24),2))+((Source!DO24/100)*ROUND((Source!CT24/IF(Source!BA24&lt;&gt;0,Source!BA24,1)*Source!I24),2))+(ROUND((Source!CS24/IF(Source!BS24&lt;&gt;0,Source!BS24,1)*Source!I24),2)*1.75)),0),2)</f>
        <v>0</v>
      </c>
      <c r="Q35">
        <f>ROUND(IF(Source!BI24=3,(ROUND((Source!CT24/IF(Source!BA24&lt;&gt;0,Source!BA24,1)*Source!I24),2)+ROUND((Source!CR24/IF(Source!BB24&lt;&gt;0,Source!BB24,1)*Source!I24),2)+ROUND((Source!CQ24/IF(Source!BC24&lt;&gt;0,Source!BC24,1)*Source!I24),2)+((Source!DN24/100)*ROUND((Source!CT24/IF(Source!BA24&lt;&gt;0,Source!BA24,1)*Source!I24),2))+((Source!DO24/100)*ROUND((Source!CT24/IF(Source!BA24&lt;&gt;0,Source!BA24,1)*Source!I24),2))+(ROUND((Source!CS24/IF(Source!BS24&lt;&gt;0,Source!BS24,1)*Source!I24),2)*1.75)),0),2)</f>
        <v>0</v>
      </c>
      <c r="R35">
        <f>ROUND(IF(Source!BI24=4,(ROUND((Source!CT24/IF(Source!BA24&lt;&gt;0,Source!BA24,1)*Source!I24),2)+ROUND((Source!CR24/IF(Source!BB24&lt;&gt;0,Source!BB24,1)*Source!I24),2)+ROUND((Source!CQ24/IF(Source!BC24&lt;&gt;0,Source!BC24,1)*Source!I24),2)+((Source!DN24/100)*ROUND((Source!CT24/IF(Source!BA24&lt;&gt;0,Source!BA24,1)*Source!I24),2))+((Source!DO24/100)*ROUND((Source!CT24/IF(Source!BA24&lt;&gt;0,Source!BA24,1)*Source!I24),2))+(ROUND((Source!CS24/IF(Source!BS24&lt;&gt;0,Source!BS24,1)*Source!I24),2)*1.75)),0),2)</f>
        <v>0</v>
      </c>
      <c r="U35">
        <f>IF(Source!BI24=1,Source!O24+Source!X24+Source!Y24+Source!R24*178/100,0)</f>
        <v>18832.16</v>
      </c>
      <c r="V35">
        <f>IF(Source!BI24=2,Source!O24+Source!X24+Source!Y24+Source!R24*178/100,0)</f>
        <v>0</v>
      </c>
      <c r="W35">
        <f>IF(Source!BI24=3,Source!O24+Source!X24+Source!Y24+Source!R24*178/100,0)</f>
        <v>0</v>
      </c>
      <c r="X35">
        <f>IF(Source!BI24=4,Source!O24+Source!X24+Source!Y24+Source!R24*178/100,0)</f>
        <v>0</v>
      </c>
    </row>
    <row r="36" spans="1:25" ht="72">
      <c r="A36" s="27" t="str">
        <f>Source!E25</f>
        <v>2</v>
      </c>
      <c r="B36" s="27" t="str">
        <f>Source!F25</f>
        <v>6.61-2-7</v>
      </c>
      <c r="C36" s="12" t="str">
        <f>Source!G25</f>
        <v>РЕМОНТ ШТУКАТУРКИ ВНУТРЕННИХ СТЕН ПО КАМНЮ И БЕТОНУ ЦЕМЕНТНО-ИЗВЕСТКОВЫМ РАСТВОРОМ ПРИ ПЛОЩАДИ ДО 1 М2 ТОЛЩИНОЙ СЛОЯ ДО 20 ММ</v>
      </c>
      <c r="D36" s="28" t="str">
        <f>Source!H25</f>
        <v>100 м2</v>
      </c>
      <c r="E36" s="6">
        <f>ROUND(Source!I25,6)</f>
        <v>0.195</v>
      </c>
      <c r="F36" s="6"/>
      <c r="G36" s="6"/>
      <c r="H36" s="6"/>
      <c r="I36" s="6"/>
      <c r="J36" s="6"/>
      <c r="K36" s="6"/>
      <c r="Y36">
        <v>2</v>
      </c>
    </row>
    <row r="37" spans="1:11" ht="12.75">
      <c r="A37" s="6"/>
      <c r="B37" s="6"/>
      <c r="C37" s="6" t="s">
        <v>169</v>
      </c>
      <c r="D37" s="6"/>
      <c r="E37" s="6"/>
      <c r="F37" s="14">
        <f>Source!AO25</f>
        <v>2762.25</v>
      </c>
      <c r="G37" s="30">
        <f>Source!DG25</f>
      </c>
      <c r="H37" s="6">
        <f>Source!AV25</f>
        <v>1.025</v>
      </c>
      <c r="I37" s="6">
        <f>Source!BA25</f>
        <v>12.7</v>
      </c>
      <c r="J37" s="14">
        <f>Source!S25</f>
        <v>7011.73</v>
      </c>
      <c r="K37" s="6"/>
    </row>
    <row r="38" spans="1:24" ht="24">
      <c r="A38" s="27"/>
      <c r="B38" s="27" t="str">
        <f>Source!F26</f>
        <v>1.3-2-13</v>
      </c>
      <c r="C38" s="12" t="str">
        <f>Source!G26</f>
        <v>РАСТВОРЫ ЦЕМЕНТНО-ИЗВЕСТКОВЫЕ, МАРКА 75</v>
      </c>
      <c r="D38" s="28" t="str">
        <f>Source!H26</f>
        <v>м3</v>
      </c>
      <c r="E38" s="6">
        <f>ROUND(Source!I26,6)</f>
        <v>0.44075</v>
      </c>
      <c r="F38" s="14">
        <f>IF(Source!AL26=0,Source!AK26,Source!AL26)</f>
        <v>481.69</v>
      </c>
      <c r="G38" s="30">
        <f>Source!DD26</f>
      </c>
      <c r="H38" s="6">
        <f>Source!AW26</f>
        <v>1</v>
      </c>
      <c r="I38" s="6">
        <f>Source!BC26</f>
        <v>7.18</v>
      </c>
      <c r="J38" s="14">
        <f>Source!O26</f>
        <v>1524.35</v>
      </c>
      <c r="K38" s="6"/>
      <c r="O38">
        <f>IF(Source!BI26=1,(0),0)</f>
        <v>0</v>
      </c>
      <c r="P38">
        <f>IF(Source!BI26=2,(0),0)</f>
        <v>0</v>
      </c>
      <c r="Q38">
        <f>IF(Source!BI26=3,(0),0)</f>
        <v>0</v>
      </c>
      <c r="R38">
        <f>IF(Source!BI26=4,(0),0)</f>
        <v>0</v>
      </c>
      <c r="U38">
        <f>IF(Source!BI26=1,Source!O26+Source!X26+Source!Y26,0)</f>
        <v>1524.35</v>
      </c>
      <c r="V38">
        <f>IF(Source!BI26=2,Source!O26+Source!X26+Source!Y26,0)</f>
        <v>0</v>
      </c>
      <c r="W38">
        <f>IF(Source!BI26=3,Source!O26+Source!X26+Source!Y26,0)</f>
        <v>0</v>
      </c>
      <c r="X38">
        <f>IF(Source!BI26=4,Source!O26+Source!X26+Source!Y26,0)</f>
        <v>0</v>
      </c>
    </row>
    <row r="39" spans="1:11" ht="12.75">
      <c r="A39" s="6"/>
      <c r="B39" s="6"/>
      <c r="C39" s="6" t="s">
        <v>170</v>
      </c>
      <c r="D39" s="6" t="s">
        <v>171</v>
      </c>
      <c r="E39" s="6">
        <f>Source!AT25</f>
        <v>91</v>
      </c>
      <c r="F39" s="6"/>
      <c r="G39" s="6"/>
      <c r="H39" s="6"/>
      <c r="I39" s="6"/>
      <c r="J39" s="14">
        <f>Source!X25</f>
        <v>6380.67</v>
      </c>
      <c r="K39" s="6"/>
    </row>
    <row r="40" spans="1:11" ht="12.75">
      <c r="A40" s="6"/>
      <c r="B40" s="6"/>
      <c r="C40" s="6" t="s">
        <v>172</v>
      </c>
      <c r="D40" s="6" t="s">
        <v>171</v>
      </c>
      <c r="E40" s="6">
        <f>Source!AU25</f>
        <v>45</v>
      </c>
      <c r="F40" s="6"/>
      <c r="G40" s="6"/>
      <c r="H40" s="6"/>
      <c r="I40" s="6"/>
      <c r="J40" s="14">
        <f>Source!Y25</f>
        <v>3155.28</v>
      </c>
      <c r="K40" s="6"/>
    </row>
    <row r="41" spans="1:11" ht="12.75">
      <c r="A41" s="31"/>
      <c r="B41" s="31"/>
      <c r="C41" s="31" t="s">
        <v>173</v>
      </c>
      <c r="D41" s="31" t="s">
        <v>174</v>
      </c>
      <c r="E41" s="31">
        <f>Source!AQ25</f>
        <v>226.6</v>
      </c>
      <c r="F41" s="31"/>
      <c r="G41" s="32">
        <f>Source!DI25</f>
      </c>
      <c r="H41" s="31">
        <f>Source!AV25</f>
        <v>1.025</v>
      </c>
      <c r="I41" s="31"/>
      <c r="J41" s="31"/>
      <c r="K41" s="33">
        <f>Source!U25</f>
        <v>45.291675</v>
      </c>
    </row>
    <row r="42" spans="9:24" ht="12.75">
      <c r="I42" s="56">
        <f>Source!S25+Source!Q25+SUM(J38:J40)</f>
        <v>18072.03</v>
      </c>
      <c r="J42" s="56"/>
      <c r="K42" s="34">
        <f>IF(Source!I25&lt;&gt;0,ROUND(I42/Source!I25,2),0)</f>
        <v>92677.08</v>
      </c>
      <c r="N42" s="13">
        <f>I42</f>
        <v>18072.03</v>
      </c>
      <c r="O42">
        <f>ROUND(IF(Source!BI25=1,(ROUND((Source!CT25/IF(Source!BA25&lt;&gt;0,Source!BA25,1)*Source!I25),2)+ROUND((Source!CR25/IF(Source!BB25&lt;&gt;0,Source!BB25,1)*Source!I25),2)+ROUND((Source!CQ25/IF(Source!BC25&lt;&gt;0,Source!BC25,1)*Source!I25),2)+((Source!DN25/100)*ROUND((Source!CT25/IF(Source!BA25&lt;&gt;0,Source!BA25,1)*Source!I25),2))+((Source!DO25/100)*ROUND((Source!CT25/IF(Source!BA25&lt;&gt;0,Source!BA25,1)*Source!I25),2))+(ROUND((Source!CS25/IF(Source!BS25&lt;&gt;0,Source!BS25,1)*Source!I25),2)*1.75)),0),2)</f>
        <v>1457.54</v>
      </c>
      <c r="P42">
        <f>ROUND(IF(Source!BI25=2,(ROUND((Source!CT25/IF(Source!BA25&lt;&gt;0,Source!BA25,1)*Source!I25),2)+ROUND((Source!CR25/IF(Source!BB25&lt;&gt;0,Source!BB25,1)*Source!I25),2)+ROUND((Source!CQ25/IF(Source!BC25&lt;&gt;0,Source!BC25,1)*Source!I25),2)+((Source!DN25/100)*ROUND((Source!CT25/IF(Source!BA25&lt;&gt;0,Source!BA25,1)*Source!I25),2))+((Source!DO25/100)*ROUND((Source!CT25/IF(Source!BA25&lt;&gt;0,Source!BA25,1)*Source!I25),2))+(ROUND((Source!CS25/IF(Source!BS25&lt;&gt;0,Source!BS25,1)*Source!I25),2)*1.75)),0),2)</f>
        <v>0</v>
      </c>
      <c r="Q42">
        <f>ROUND(IF(Source!BI25=3,(ROUND((Source!CT25/IF(Source!BA25&lt;&gt;0,Source!BA25,1)*Source!I25),2)+ROUND((Source!CR25/IF(Source!BB25&lt;&gt;0,Source!BB25,1)*Source!I25),2)+ROUND((Source!CQ25/IF(Source!BC25&lt;&gt;0,Source!BC25,1)*Source!I25),2)+((Source!DN25/100)*ROUND((Source!CT25/IF(Source!BA25&lt;&gt;0,Source!BA25,1)*Source!I25),2))+((Source!DO25/100)*ROUND((Source!CT25/IF(Source!BA25&lt;&gt;0,Source!BA25,1)*Source!I25),2))+(ROUND((Source!CS25/IF(Source!BS25&lt;&gt;0,Source!BS25,1)*Source!I25),2)*1.75)),0),2)</f>
        <v>0</v>
      </c>
      <c r="R42">
        <f>ROUND(IF(Source!BI25=4,(ROUND((Source!CT25/IF(Source!BA25&lt;&gt;0,Source!BA25,1)*Source!I25),2)+ROUND((Source!CR25/IF(Source!BB25&lt;&gt;0,Source!BB25,1)*Source!I25),2)+ROUND((Source!CQ25/IF(Source!BC25&lt;&gt;0,Source!BC25,1)*Source!I25),2)+((Source!DN25/100)*ROUND((Source!CT25/IF(Source!BA25&lt;&gt;0,Source!BA25,1)*Source!I25),2))+((Source!DO25/100)*ROUND((Source!CT25/IF(Source!BA25&lt;&gt;0,Source!BA25,1)*Source!I25),2))+(ROUND((Source!CS25/IF(Source!BS25&lt;&gt;0,Source!BS25,1)*Source!I25),2)*1.75)),0),2)</f>
        <v>0</v>
      </c>
      <c r="U42">
        <f>IF(Source!BI25=1,Source!O25+Source!X25+Source!Y25+Source!R25*178/100,0)</f>
        <v>16547.68</v>
      </c>
      <c r="V42">
        <f>IF(Source!BI25=2,Source!O25+Source!X25+Source!Y25+Source!R25*178/100,0)</f>
        <v>0</v>
      </c>
      <c r="W42">
        <f>IF(Source!BI25=3,Source!O25+Source!X25+Source!Y25+Source!R25*178/100,0)</f>
        <v>0</v>
      </c>
      <c r="X42">
        <f>IF(Source!BI25=4,Source!O25+Source!X25+Source!Y25+Source!R25*178/100,0)</f>
        <v>0</v>
      </c>
    </row>
    <row r="43" spans="1:25" ht="12.75">
      <c r="A43" s="27" t="str">
        <f>Source!E27</f>
        <v>3</v>
      </c>
      <c r="B43" s="27" t="str">
        <f>Source!F27</f>
        <v>3.15-106-4</v>
      </c>
      <c r="C43" s="12" t="str">
        <f>Source!G27</f>
        <v>ОКЛЕЙКА ТКАНЯМИ СТЕН</v>
      </c>
      <c r="D43" s="28" t="str">
        <f>Source!H27</f>
        <v>100 м2</v>
      </c>
      <c r="E43" s="6">
        <f>ROUND(Source!I27,6)</f>
        <v>0.051</v>
      </c>
      <c r="F43" s="6"/>
      <c r="G43" s="6"/>
      <c r="H43" s="6"/>
      <c r="I43" s="6"/>
      <c r="J43" s="6"/>
      <c r="K43" s="6"/>
      <c r="Y43">
        <v>3</v>
      </c>
    </row>
    <row r="44" spans="1:11" ht="12.75">
      <c r="A44" s="6"/>
      <c r="B44" s="6"/>
      <c r="C44" s="6" t="s">
        <v>169</v>
      </c>
      <c r="D44" s="6"/>
      <c r="E44" s="6"/>
      <c r="F44" s="14">
        <f>Source!AO27</f>
        <v>184.63</v>
      </c>
      <c r="G44" s="30" t="str">
        <f>Source!DG27</f>
        <v>)*1,15</v>
      </c>
      <c r="H44" s="6">
        <f>Source!AV27</f>
        <v>1.025</v>
      </c>
      <c r="I44" s="6">
        <f>Source!BA27</f>
        <v>12.7</v>
      </c>
      <c r="J44" s="14">
        <f>Source!S27</f>
        <v>140.96</v>
      </c>
      <c r="K44" s="6"/>
    </row>
    <row r="45" spans="1:11" ht="12.75">
      <c r="A45" s="6"/>
      <c r="B45" s="6"/>
      <c r="C45" s="6" t="s">
        <v>175</v>
      </c>
      <c r="D45" s="6"/>
      <c r="E45" s="6"/>
      <c r="F45" s="14">
        <f>Source!AL27</f>
        <v>937.27</v>
      </c>
      <c r="G45" s="6">
        <f>Source!DD27</f>
      </c>
      <c r="H45" s="6">
        <f>Source!AW27</f>
        <v>1</v>
      </c>
      <c r="I45" s="6">
        <f>Source!BC27</f>
        <v>1.48</v>
      </c>
      <c r="J45" s="14">
        <f>Source!P27</f>
        <v>70.75</v>
      </c>
      <c r="K45" s="6"/>
    </row>
    <row r="46" spans="1:24" ht="12.75">
      <c r="A46" s="27"/>
      <c r="B46" s="27" t="str">
        <f>Source!F28</f>
        <v>1.1-1-656</v>
      </c>
      <c r="C46" s="12" t="str">
        <f>Source!G28</f>
        <v>МИТКАЛЬ (СЕРПЯНКА)</v>
      </c>
      <c r="D46" s="28" t="str">
        <f>Source!H28</f>
        <v>м2</v>
      </c>
      <c r="E46" s="6">
        <f>ROUND(Source!I28,6)</f>
        <v>5.355</v>
      </c>
      <c r="F46" s="14">
        <f>IF(Source!AL28=0,Source!AK28,Source!AL28)</f>
        <v>6.32</v>
      </c>
      <c r="G46" s="30">
        <f>Source!DD28</f>
      </c>
      <c r="H46" s="6">
        <f>Source!AW28</f>
        <v>1</v>
      </c>
      <c r="I46" s="6">
        <f>Source!BC28</f>
        <v>1.49</v>
      </c>
      <c r="J46" s="14">
        <f>Source!O28</f>
        <v>50.43</v>
      </c>
      <c r="K46" s="6"/>
      <c r="O46">
        <f>IF(Source!BI28=1,(0),0)</f>
        <v>0</v>
      </c>
      <c r="P46">
        <f>IF(Source!BI28=2,(0),0)</f>
        <v>0</v>
      </c>
      <c r="Q46">
        <f>IF(Source!BI28=3,(0),0)</f>
        <v>0</v>
      </c>
      <c r="R46">
        <f>IF(Source!BI28=4,(0),0)</f>
        <v>0</v>
      </c>
      <c r="U46">
        <f>IF(Source!BI28=1,Source!O28+Source!X28+Source!Y28,0)</f>
        <v>50.43</v>
      </c>
      <c r="V46">
        <f>IF(Source!BI28=2,Source!O28+Source!X28+Source!Y28,0)</f>
        <v>0</v>
      </c>
      <c r="W46">
        <f>IF(Source!BI28=3,Source!O28+Source!X28+Source!Y28,0)</f>
        <v>0</v>
      </c>
      <c r="X46">
        <f>IF(Source!BI28=4,Source!O28+Source!X28+Source!Y28,0)</f>
        <v>0</v>
      </c>
    </row>
    <row r="47" spans="1:11" ht="12.75">
      <c r="A47" s="6"/>
      <c r="B47" s="6"/>
      <c r="C47" s="6" t="s">
        <v>170</v>
      </c>
      <c r="D47" s="6" t="s">
        <v>171</v>
      </c>
      <c r="E47" s="6">
        <f>Source!AT27</f>
        <v>91</v>
      </c>
      <c r="F47" s="6"/>
      <c r="G47" s="6"/>
      <c r="H47" s="6"/>
      <c r="I47" s="6"/>
      <c r="J47" s="14">
        <f>Source!X27</f>
        <v>128.27</v>
      </c>
      <c r="K47" s="6"/>
    </row>
    <row r="48" spans="1:11" ht="12.75">
      <c r="A48" s="6"/>
      <c r="B48" s="6"/>
      <c r="C48" s="6" t="s">
        <v>172</v>
      </c>
      <c r="D48" s="6" t="s">
        <v>171</v>
      </c>
      <c r="E48" s="6">
        <f>Source!AU27</f>
        <v>45</v>
      </c>
      <c r="F48" s="6"/>
      <c r="G48" s="6"/>
      <c r="H48" s="6"/>
      <c r="I48" s="6"/>
      <c r="J48" s="14">
        <f>Source!Y27</f>
        <v>63.43</v>
      </c>
      <c r="K48" s="6"/>
    </row>
    <row r="49" spans="1:11" ht="12.75">
      <c r="A49" s="31"/>
      <c r="B49" s="31"/>
      <c r="C49" s="31" t="s">
        <v>173</v>
      </c>
      <c r="D49" s="31" t="s">
        <v>174</v>
      </c>
      <c r="E49" s="31">
        <f>Source!AQ27</f>
        <v>15.7</v>
      </c>
      <c r="F49" s="31"/>
      <c r="G49" s="32" t="str">
        <f>Source!DI27</f>
        <v>)*1,15</v>
      </c>
      <c r="H49" s="31">
        <f>Source!AV27</f>
        <v>1.025</v>
      </c>
      <c r="I49" s="31"/>
      <c r="J49" s="31"/>
      <c r="K49" s="33">
        <f>Source!U27</f>
        <v>0.9438251249999997</v>
      </c>
    </row>
    <row r="50" spans="9:24" ht="12.75">
      <c r="I50" s="56">
        <f>Source!S27+Source!Q27+SUM(J45:J48)</f>
        <v>453.84000000000003</v>
      </c>
      <c r="J50" s="56"/>
      <c r="K50" s="34">
        <f>IF(Source!I27&lt;&gt;0,ROUND(I50/Source!I27,2),0)</f>
        <v>8898.82</v>
      </c>
      <c r="N50" s="13">
        <f>I50</f>
        <v>453.84000000000003</v>
      </c>
      <c r="O50">
        <f>ROUND(IF(Source!BI27=1,(ROUND((Source!CT27/IF(Source!BA27&lt;&gt;0,Source!BA27,1)*Source!I27),2)+ROUND((Source!CR27/IF(Source!BB27&lt;&gt;0,Source!BB27,1)*Source!I27),2)+ROUND((Source!CQ27/IF(Source!BC27&lt;&gt;0,Source!BC27,1)*Source!I27),2)+((Source!DN27/100)*ROUND((Source!CT27/IF(Source!BA27&lt;&gt;0,Source!BA27,1)*Source!I27),2))+((Source!DO27/100)*ROUND((Source!CT27/IF(Source!BA27&lt;&gt;0,Source!BA27,1)*Source!I27),2))+(ROUND((Source!CS27/IF(Source!BS27&lt;&gt;0,Source!BS27,1)*Source!I27),2)*1.75)),0),2)</f>
        <v>77.1</v>
      </c>
      <c r="P50">
        <f>ROUND(IF(Source!BI27=2,(ROUND((Source!CT27/IF(Source!BA27&lt;&gt;0,Source!BA27,1)*Source!I27),2)+ROUND((Source!CR27/IF(Source!BB27&lt;&gt;0,Source!BB27,1)*Source!I27),2)+ROUND((Source!CQ27/IF(Source!BC27&lt;&gt;0,Source!BC27,1)*Source!I27),2)+((Source!DN27/100)*ROUND((Source!CT27/IF(Source!BA27&lt;&gt;0,Source!BA27,1)*Source!I27),2))+((Source!DO27/100)*ROUND((Source!CT27/IF(Source!BA27&lt;&gt;0,Source!BA27,1)*Source!I27),2))+(ROUND((Source!CS27/IF(Source!BS27&lt;&gt;0,Source!BS27,1)*Source!I27),2)*1.75)),0),2)</f>
        <v>0</v>
      </c>
      <c r="Q50">
        <f>ROUND(IF(Source!BI27=3,(ROUND((Source!CT27/IF(Source!BA27&lt;&gt;0,Source!BA27,1)*Source!I27),2)+ROUND((Source!CR27/IF(Source!BB27&lt;&gt;0,Source!BB27,1)*Source!I27),2)+ROUND((Source!CQ27/IF(Source!BC27&lt;&gt;0,Source!BC27,1)*Source!I27),2)+((Source!DN27/100)*ROUND((Source!CT27/IF(Source!BA27&lt;&gt;0,Source!BA27,1)*Source!I27),2))+((Source!DO27/100)*ROUND((Source!CT27/IF(Source!BA27&lt;&gt;0,Source!BA27,1)*Source!I27),2))+(ROUND((Source!CS27/IF(Source!BS27&lt;&gt;0,Source!BS27,1)*Source!I27),2)*1.75)),0),2)</f>
        <v>0</v>
      </c>
      <c r="R50">
        <f>ROUND(IF(Source!BI27=4,(ROUND((Source!CT27/IF(Source!BA27&lt;&gt;0,Source!BA27,1)*Source!I27),2)+ROUND((Source!CR27/IF(Source!BB27&lt;&gt;0,Source!BB27,1)*Source!I27),2)+ROUND((Source!CQ27/IF(Source!BC27&lt;&gt;0,Source!BC27,1)*Source!I27),2)+((Source!DN27/100)*ROUND((Source!CT27/IF(Source!BA27&lt;&gt;0,Source!BA27,1)*Source!I27),2))+((Source!DO27/100)*ROUND((Source!CT27/IF(Source!BA27&lt;&gt;0,Source!BA27,1)*Source!I27),2))+(ROUND((Source!CS27/IF(Source!BS27&lt;&gt;0,Source!BS27,1)*Source!I27),2)*1.75)),0),2)</f>
        <v>0</v>
      </c>
      <c r="U50">
        <f>IF(Source!BI27=1,Source!O27+Source!X27+Source!Y27+Source!R27*178/100,0)</f>
        <v>403.41</v>
      </c>
      <c r="V50">
        <f>IF(Source!BI27=2,Source!O27+Source!X27+Source!Y27+Source!R27*178/100,0)</f>
        <v>0</v>
      </c>
      <c r="W50">
        <f>IF(Source!BI27=3,Source!O27+Source!X27+Source!Y27+Source!R27*178/100,0)</f>
        <v>0</v>
      </c>
      <c r="X50">
        <f>IF(Source!BI27=4,Source!O27+Source!X27+Source!Y27+Source!R27*178/100,0)</f>
        <v>0</v>
      </c>
    </row>
    <row r="51" spans="1:25" ht="60">
      <c r="A51" s="27" t="str">
        <f>Source!E29</f>
        <v>4</v>
      </c>
      <c r="B51" s="27" t="str">
        <f>Source!F29</f>
        <v>3.15-96-3</v>
      </c>
      <c r="C51" s="12" t="str">
        <f>Source!G29</f>
        <v>УЛУЧШЕННАЯ ОКРАСКА ПОЛИВИНИЛАЦЕТАТНЫМИ ВОДОЭМУЛЬСИОННЫМИ СОСТАВАМИ ПО ШТУКАТУРКЕ СТЕН</v>
      </c>
      <c r="D51" s="28" t="str">
        <f>Source!H29</f>
        <v>100 м2</v>
      </c>
      <c r="E51" s="6">
        <f>ROUND(Source!I29,6)</f>
        <v>1</v>
      </c>
      <c r="F51" s="6"/>
      <c r="G51" s="6"/>
      <c r="H51" s="6"/>
      <c r="I51" s="6"/>
      <c r="J51" s="6"/>
      <c r="K51" s="6"/>
      <c r="Y51">
        <v>4</v>
      </c>
    </row>
    <row r="52" spans="1:11" ht="12.75">
      <c r="A52" s="6"/>
      <c r="B52" s="6"/>
      <c r="C52" s="6" t="s">
        <v>169</v>
      </c>
      <c r="D52" s="6"/>
      <c r="E52" s="6"/>
      <c r="F52" s="14">
        <f>Source!AO29</f>
        <v>458.64</v>
      </c>
      <c r="G52" s="30" t="str">
        <f>Source!DG29</f>
        <v>)*1,15</v>
      </c>
      <c r="H52" s="6">
        <f>Source!AV29</f>
        <v>1.025</v>
      </c>
      <c r="I52" s="6">
        <f>Source!BA29</f>
        <v>12.7</v>
      </c>
      <c r="J52" s="14">
        <f>Source!S29</f>
        <v>6865.9</v>
      </c>
      <c r="K52" s="6"/>
    </row>
    <row r="53" spans="1:11" ht="12.75">
      <c r="A53" s="6"/>
      <c r="B53" s="6"/>
      <c r="C53" s="6" t="s">
        <v>176</v>
      </c>
      <c r="D53" s="6"/>
      <c r="E53" s="6"/>
      <c r="F53" s="14">
        <f>Source!AM29</f>
        <v>29.03</v>
      </c>
      <c r="G53" s="30" t="str">
        <f>Source!DE29</f>
        <v>)*1,25</v>
      </c>
      <c r="H53" s="6">
        <f>Source!AV29</f>
        <v>1.025</v>
      </c>
      <c r="I53" s="6">
        <f>Source!BB29</f>
        <v>7.5</v>
      </c>
      <c r="J53" s="14">
        <f>Source!Q29</f>
        <v>278.96</v>
      </c>
      <c r="K53" s="6"/>
    </row>
    <row r="54" spans="1:11" ht="12.75">
      <c r="A54" s="6"/>
      <c r="B54" s="6"/>
      <c r="C54" s="6" t="s">
        <v>177</v>
      </c>
      <c r="D54" s="6"/>
      <c r="E54" s="6"/>
      <c r="F54" s="14">
        <f>Source!AN29</f>
        <v>6.86</v>
      </c>
      <c r="G54" s="30" t="str">
        <f>Source!DF29</f>
        <v>)*1,25</v>
      </c>
      <c r="H54" s="6">
        <f>Source!AV29</f>
        <v>1.025</v>
      </c>
      <c r="I54" s="6">
        <f>Source!BS29</f>
        <v>12.7</v>
      </c>
      <c r="J54" s="35" t="str">
        <f>CONCATENATE("(",TEXT(+Source!R29,"0,00"),")")</f>
        <v>(111,63)</v>
      </c>
      <c r="K54" s="6"/>
    </row>
    <row r="55" spans="1:11" ht="12.75">
      <c r="A55" s="6"/>
      <c r="B55" s="6"/>
      <c r="C55" s="6" t="s">
        <v>175</v>
      </c>
      <c r="D55" s="6"/>
      <c r="E55" s="6"/>
      <c r="F55" s="14">
        <f>Source!AL29</f>
        <v>6.09</v>
      </c>
      <c r="G55" s="6">
        <f>Source!DD29</f>
      </c>
      <c r="H55" s="6">
        <f>Source!AW29</f>
        <v>1</v>
      </c>
      <c r="I55" s="6">
        <f>Source!BC29</f>
        <v>4.56</v>
      </c>
      <c r="J55" s="14">
        <f>Source!P29</f>
        <v>27.77</v>
      </c>
      <c r="K55" s="6"/>
    </row>
    <row r="56" spans="1:24" ht="12.75">
      <c r="A56" s="27"/>
      <c r="B56" s="27" t="str">
        <f>Source!F30</f>
        <v>1.1-1-1485</v>
      </c>
      <c r="C56" s="12" t="str">
        <f>Source!G30</f>
        <v>ШПАТЛЕВКА ПВА</v>
      </c>
      <c r="D56" s="28" t="str">
        <f>Source!H30</f>
        <v>т</v>
      </c>
      <c r="E56" s="6">
        <f>ROUND(Source!I30,6)</f>
        <v>0.051</v>
      </c>
      <c r="F56" s="14">
        <f>IF(Source!AL30=0,Source!AK30,Source!AL30)</f>
        <v>11569.28</v>
      </c>
      <c r="G56" s="30">
        <f>Source!DD30</f>
      </c>
      <c r="H56" s="6">
        <f>Source!AW30</f>
        <v>1</v>
      </c>
      <c r="I56" s="6">
        <f>Source!BC30</f>
        <v>3.12</v>
      </c>
      <c r="J56" s="14">
        <f>Source!O30</f>
        <v>1840.9</v>
      </c>
      <c r="K56" s="6"/>
      <c r="O56">
        <f>IF(Source!BI30=1,(0),0)</f>
        <v>0</v>
      </c>
      <c r="P56">
        <f>IF(Source!BI30=2,(0),0)</f>
        <v>0</v>
      </c>
      <c r="Q56">
        <f>IF(Source!BI30=3,(0),0)</f>
        <v>0</v>
      </c>
      <c r="R56">
        <f>IF(Source!BI30=4,(0),0)</f>
        <v>0</v>
      </c>
      <c r="U56">
        <f>IF(Source!BI30=1,Source!O30+Source!X30+Source!Y30,0)</f>
        <v>1840.9</v>
      </c>
      <c r="V56">
        <f>IF(Source!BI30=2,Source!O30+Source!X30+Source!Y30,0)</f>
        <v>0</v>
      </c>
      <c r="W56">
        <f>IF(Source!BI30=3,Source!O30+Source!X30+Source!Y30,0)</f>
        <v>0</v>
      </c>
      <c r="X56">
        <f>IF(Source!BI30=4,Source!O30+Source!X30+Source!Y30,0)</f>
        <v>0</v>
      </c>
    </row>
    <row r="57" spans="1:24" ht="24">
      <c r="A57" s="27"/>
      <c r="B57" s="27" t="str">
        <f>Source!F31</f>
        <v>1.1-1-773</v>
      </c>
      <c r="C57" s="12" t="str">
        <f>Source!G31</f>
        <v>ПИГМЕНТЫ СУХИЕ ДЛЯ КРАСОК, КРОН СВИНЦОВЫЙ</v>
      </c>
      <c r="D57" s="28" t="str">
        <f>Source!H31</f>
        <v>кг</v>
      </c>
      <c r="E57" s="6">
        <f>ROUND(Source!I31,6)</f>
        <v>0.672316</v>
      </c>
      <c r="F57" s="14">
        <f>IF(Source!AL31=0,Source!AK31,Source!AL31)</f>
        <v>34.0468</v>
      </c>
      <c r="G57" s="30">
        <f>Source!DD31</f>
      </c>
      <c r="H57" s="6">
        <f>Source!AW31</f>
        <v>1</v>
      </c>
      <c r="I57" s="6">
        <f>Source!BC31</f>
        <v>2.23</v>
      </c>
      <c r="J57" s="14">
        <f>Source!O31</f>
        <v>51.05</v>
      </c>
      <c r="K57" s="6"/>
      <c r="O57">
        <f>IF(Source!BI31=1,(0),0)</f>
        <v>0</v>
      </c>
      <c r="P57">
        <f>IF(Source!BI31=2,(0),0)</f>
        <v>0</v>
      </c>
      <c r="Q57">
        <f>IF(Source!BI31=3,(0),0)</f>
        <v>0</v>
      </c>
      <c r="R57">
        <f>IF(Source!BI31=4,(0),0)</f>
        <v>0</v>
      </c>
      <c r="U57">
        <f>IF(Source!BI31=1,Source!O31+Source!X31+Source!Y31,0)</f>
        <v>51.05</v>
      </c>
      <c r="V57">
        <f>IF(Source!BI31=2,Source!O31+Source!X31+Source!Y31,0)</f>
        <v>0</v>
      </c>
      <c r="W57">
        <f>IF(Source!BI31=3,Source!O31+Source!X31+Source!Y31,0)</f>
        <v>0</v>
      </c>
      <c r="X57">
        <f>IF(Source!BI31=4,Source!O31+Source!X31+Source!Y31,0)</f>
        <v>0</v>
      </c>
    </row>
    <row r="58" spans="1:24" ht="72">
      <c r="A58" s="27"/>
      <c r="B58" s="27" t="str">
        <f>Source!F32</f>
        <v>1.1-1-2844</v>
      </c>
      <c r="C58" s="12" t="str">
        <f>Source!G32</f>
        <v>КРАСКА ВОДНО-ДИСПЕРСИОННАЯ СИЛИКОН-АКРИЛАТНАЯ ДЛЯ ФИНИШНОЙ ОТДЕЛКИ ПОВЕРХНОСТЕЙ, МАРКА "GAMADEKOR SA" (ФИРМА "STOMIX")</v>
      </c>
      <c r="D58" s="28" t="str">
        <f>Source!H32</f>
        <v>т</v>
      </c>
      <c r="E58" s="6">
        <f>ROUND(Source!I32,6)</f>
        <v>0.063</v>
      </c>
      <c r="F58" s="14">
        <f>IF(Source!AL32=0,Source!AK32,Source!AL32)</f>
        <v>36010.14</v>
      </c>
      <c r="G58" s="30">
        <f>Source!DD32</f>
      </c>
      <c r="H58" s="6">
        <f>Source!AW32</f>
        <v>1</v>
      </c>
      <c r="I58" s="6">
        <f>Source!BC32</f>
        <v>4.91</v>
      </c>
      <c r="J58" s="14">
        <f>Source!O32</f>
        <v>11139.02</v>
      </c>
      <c r="K58" s="6"/>
      <c r="O58">
        <f>IF(Source!BI32=1,(0),0)</f>
        <v>0</v>
      </c>
      <c r="P58">
        <f>IF(Source!BI32=2,(0),0)</f>
        <v>0</v>
      </c>
      <c r="Q58">
        <f>IF(Source!BI32=3,(0),0)</f>
        <v>0</v>
      </c>
      <c r="R58">
        <f>IF(Source!BI32=4,(0),0)</f>
        <v>0</v>
      </c>
      <c r="U58">
        <f>IF(Source!BI32=1,Source!O32+Source!X32+Source!Y32,0)</f>
        <v>11139.02</v>
      </c>
      <c r="V58">
        <f>IF(Source!BI32=2,Source!O32+Source!X32+Source!Y32,0)</f>
        <v>0</v>
      </c>
      <c r="W58">
        <f>IF(Source!BI32=3,Source!O32+Source!X32+Source!Y32,0)</f>
        <v>0</v>
      </c>
      <c r="X58">
        <f>IF(Source!BI32=4,Source!O32+Source!X32+Source!Y32,0)</f>
        <v>0</v>
      </c>
    </row>
    <row r="59" spans="1:11" ht="12.75">
      <c r="A59" s="6"/>
      <c r="B59" s="6"/>
      <c r="C59" s="6" t="s">
        <v>170</v>
      </c>
      <c r="D59" s="6" t="s">
        <v>171</v>
      </c>
      <c r="E59" s="6">
        <f>Source!AT29</f>
        <v>91</v>
      </c>
      <c r="F59" s="6"/>
      <c r="G59" s="6"/>
      <c r="H59" s="6"/>
      <c r="I59" s="6"/>
      <c r="J59" s="14">
        <f>Source!X29</f>
        <v>6247.97</v>
      </c>
      <c r="K59" s="6"/>
    </row>
    <row r="60" spans="1:11" ht="12.75">
      <c r="A60" s="6"/>
      <c r="B60" s="6"/>
      <c r="C60" s="6" t="s">
        <v>172</v>
      </c>
      <c r="D60" s="6" t="s">
        <v>171</v>
      </c>
      <c r="E60" s="6">
        <f>Source!AU29</f>
        <v>45</v>
      </c>
      <c r="F60" s="6"/>
      <c r="G60" s="6"/>
      <c r="H60" s="6"/>
      <c r="I60" s="6"/>
      <c r="J60" s="14">
        <f>Source!Y29</f>
        <v>3089.66</v>
      </c>
      <c r="K60" s="6"/>
    </row>
    <row r="61" spans="1:11" ht="12.75">
      <c r="A61" s="6"/>
      <c r="B61" s="6"/>
      <c r="C61" s="6" t="s">
        <v>178</v>
      </c>
      <c r="D61" s="6" t="s">
        <v>171</v>
      </c>
      <c r="E61" s="6">
        <v>178</v>
      </c>
      <c r="F61" s="6"/>
      <c r="G61" s="6"/>
      <c r="H61" s="6"/>
      <c r="I61" s="6"/>
      <c r="J61" s="14">
        <f>ROUND(Source!R29*E61/100,2)</f>
        <v>198.7</v>
      </c>
      <c r="K61" s="6"/>
    </row>
    <row r="62" spans="1:11" ht="12.75">
      <c r="A62" s="31"/>
      <c r="B62" s="31"/>
      <c r="C62" s="31" t="s">
        <v>173</v>
      </c>
      <c r="D62" s="31" t="s">
        <v>174</v>
      </c>
      <c r="E62" s="31">
        <f>Source!AQ29</f>
        <v>39</v>
      </c>
      <c r="F62" s="31"/>
      <c r="G62" s="32" t="str">
        <f>Source!DI29</f>
        <v>)*1,15</v>
      </c>
      <c r="H62" s="31">
        <f>Source!AV29</f>
        <v>1.025</v>
      </c>
      <c r="I62" s="31"/>
      <c r="J62" s="31"/>
      <c r="K62" s="33">
        <f>Source!U29</f>
        <v>45.97124999999999</v>
      </c>
    </row>
    <row r="63" spans="9:24" ht="12.75">
      <c r="I63" s="56">
        <f>Source!S29+Source!Q29+SUM(J55:J61)</f>
        <v>29739.93</v>
      </c>
      <c r="J63" s="56"/>
      <c r="K63" s="34">
        <f>IF(Source!I29&lt;&gt;0,ROUND(I63/Source!I29,2),0)</f>
        <v>29739.93</v>
      </c>
      <c r="N63" s="13">
        <f>I63</f>
        <v>29739.93</v>
      </c>
      <c r="O63">
        <f>ROUND(IF(Source!BI29=1,(ROUND((Source!CT29/IF(Source!BA29&lt;&gt;0,Source!BA29,1)*Source!I29),2)+ROUND((Source!CR29/IF(Source!BB29&lt;&gt;0,Source!BB29,1)*Source!I29),2)+ROUND((Source!CQ29/IF(Source!BC29&lt;&gt;0,Source!BC29,1)*Source!I29),2)+((Source!DN29/100)*ROUND((Source!CT29/IF(Source!BA29&lt;&gt;0,Source!BA29,1)*Source!I29),2))+((Source!DO29/100)*ROUND((Source!CT29/IF(Source!BA29&lt;&gt;0,Source!BA29,1)*Source!I29),2))+(ROUND((Source!CS29/IF(Source!BS29&lt;&gt;0,Source!BS29,1)*Source!I29),2)*1.75)),0),2)</f>
        <v>1485.9</v>
      </c>
      <c r="P63">
        <f>ROUND(IF(Source!BI29=2,(ROUND((Source!CT29/IF(Source!BA29&lt;&gt;0,Source!BA29,1)*Source!I29),2)+ROUND((Source!CR29/IF(Source!BB29&lt;&gt;0,Source!BB29,1)*Source!I29),2)+ROUND((Source!CQ29/IF(Source!BC29&lt;&gt;0,Source!BC29,1)*Source!I29),2)+((Source!DN29/100)*ROUND((Source!CT29/IF(Source!BA29&lt;&gt;0,Source!BA29,1)*Source!I29),2))+((Source!DO29/100)*ROUND((Source!CT29/IF(Source!BA29&lt;&gt;0,Source!BA29,1)*Source!I29),2))+(ROUND((Source!CS29/IF(Source!BS29&lt;&gt;0,Source!BS29,1)*Source!I29),2)*1.75)),0),2)</f>
        <v>0</v>
      </c>
      <c r="Q63">
        <f>ROUND(IF(Source!BI29=3,(ROUND((Source!CT29/IF(Source!BA29&lt;&gt;0,Source!BA29,1)*Source!I29),2)+ROUND((Source!CR29/IF(Source!BB29&lt;&gt;0,Source!BB29,1)*Source!I29),2)+ROUND((Source!CQ29/IF(Source!BC29&lt;&gt;0,Source!BC29,1)*Source!I29),2)+((Source!DN29/100)*ROUND((Source!CT29/IF(Source!BA29&lt;&gt;0,Source!BA29,1)*Source!I29),2))+((Source!DO29/100)*ROUND((Source!CT29/IF(Source!BA29&lt;&gt;0,Source!BA29,1)*Source!I29),2))+(ROUND((Source!CS29/IF(Source!BS29&lt;&gt;0,Source!BS29,1)*Source!I29),2)*1.75)),0),2)</f>
        <v>0</v>
      </c>
      <c r="R63">
        <f>ROUND(IF(Source!BI29=4,(ROUND((Source!CT29/IF(Source!BA29&lt;&gt;0,Source!BA29,1)*Source!I29),2)+ROUND((Source!CR29/IF(Source!BB29&lt;&gt;0,Source!BB29,1)*Source!I29),2)+ROUND((Source!CQ29/IF(Source!BC29&lt;&gt;0,Source!BC29,1)*Source!I29),2)+((Source!DN29/100)*ROUND((Source!CT29/IF(Source!BA29&lt;&gt;0,Source!BA29,1)*Source!I29),2))+((Source!DO29/100)*ROUND((Source!CT29/IF(Source!BA29&lt;&gt;0,Source!BA29,1)*Source!I29),2))+(ROUND((Source!CS29/IF(Source!BS29&lt;&gt;0,Source!BS29,1)*Source!I29),2)*1.75)),0),2)</f>
        <v>0</v>
      </c>
      <c r="U63">
        <f>IF(Source!BI29=1,Source!O29+Source!X29+Source!Y29+Source!R29*178/100,0)</f>
        <v>16708.961400000004</v>
      </c>
      <c r="V63">
        <f>IF(Source!BI29=2,Source!O29+Source!X29+Source!Y29+Source!R29*178/100,0)</f>
        <v>0</v>
      </c>
      <c r="W63">
        <f>IF(Source!BI29=3,Source!O29+Source!X29+Source!Y29+Source!R29*178/100,0)</f>
        <v>0</v>
      </c>
      <c r="X63">
        <f>IF(Source!BI29=4,Source!O29+Source!X29+Source!Y29+Source!R29*178/100,0)</f>
        <v>0</v>
      </c>
    </row>
    <row r="64" spans="1:25" ht="72">
      <c r="A64" s="27" t="str">
        <f>Source!E33</f>
        <v>5</v>
      </c>
      <c r="B64" s="27" t="str">
        <f>Source!F33</f>
        <v>3.8-28-1</v>
      </c>
      <c r="C64" s="12" t="str">
        <f>Source!G33</f>
        <v>УСТАНОВКА И РАЗБОРКА ИНВЕНТАРНЫХ ЛЕСОВ ВНУТРЕННИХ ТРУБЧАТЫХ ПРИ ВЫСОТЕ ПОМЕЩЕНИЙ ДО 6 М (БЕЗ ЗАТРАТ ПО ЭКСПЛУАТАЦИИ ЛЕСОВ)</v>
      </c>
      <c r="D64" s="28" t="str">
        <f>Source!H33</f>
        <v>100 м2</v>
      </c>
      <c r="E64" s="6">
        <f>ROUND(Source!I33,6)</f>
        <v>0.01</v>
      </c>
      <c r="F64" s="6"/>
      <c r="G64" s="6"/>
      <c r="H64" s="6"/>
      <c r="I64" s="6"/>
      <c r="J64" s="6"/>
      <c r="K64" s="6"/>
      <c r="Y64">
        <v>5</v>
      </c>
    </row>
    <row r="65" spans="1:11" ht="12.75">
      <c r="A65" s="6"/>
      <c r="B65" s="6"/>
      <c r="C65" s="6" t="s">
        <v>169</v>
      </c>
      <c r="D65" s="6"/>
      <c r="E65" s="6"/>
      <c r="F65" s="14">
        <f>Source!AO33</f>
        <v>858.06</v>
      </c>
      <c r="G65" s="30" t="str">
        <f>Source!DG33</f>
        <v>)*1,15</v>
      </c>
      <c r="H65" s="6">
        <f>Source!AV33</f>
        <v>1.047</v>
      </c>
      <c r="I65" s="6">
        <f>Source!BA33</f>
        <v>12.7</v>
      </c>
      <c r="J65" s="14">
        <f>Source!S33</f>
        <v>131.21</v>
      </c>
      <c r="K65" s="6"/>
    </row>
    <row r="66" spans="1:11" ht="12.75">
      <c r="A66" s="6"/>
      <c r="B66" s="6"/>
      <c r="C66" s="6" t="s">
        <v>176</v>
      </c>
      <c r="D66" s="6"/>
      <c r="E66" s="6"/>
      <c r="F66" s="14">
        <f>Source!AM33</f>
        <v>20.1</v>
      </c>
      <c r="G66" s="30" t="str">
        <f>Source!DE33</f>
        <v>)*1,25</v>
      </c>
      <c r="H66" s="6">
        <f>Source!AV33</f>
        <v>1.047</v>
      </c>
      <c r="I66" s="6">
        <f>Source!BB33</f>
        <v>7.5</v>
      </c>
      <c r="J66" s="14">
        <f>Source!Q33</f>
        <v>1.97</v>
      </c>
      <c r="K66" s="6"/>
    </row>
    <row r="67" spans="1:11" ht="12.75">
      <c r="A67" s="6"/>
      <c r="B67" s="6"/>
      <c r="C67" s="6" t="s">
        <v>177</v>
      </c>
      <c r="D67" s="6"/>
      <c r="E67" s="6"/>
      <c r="F67" s="14">
        <f>Source!AN33</f>
        <v>4.75</v>
      </c>
      <c r="G67" s="30" t="str">
        <f>Source!DF33</f>
        <v>)*1,25</v>
      </c>
      <c r="H67" s="6">
        <f>Source!AV33</f>
        <v>1.047</v>
      </c>
      <c r="I67" s="6">
        <f>Source!BS33</f>
        <v>12.7</v>
      </c>
      <c r="J67" s="35" t="str">
        <f>CONCATENATE("(",TEXT(+Source!R33,"0,00"),")")</f>
        <v>(0,79)</v>
      </c>
      <c r="K67" s="6"/>
    </row>
    <row r="68" spans="1:11" ht="12.75">
      <c r="A68" s="6"/>
      <c r="B68" s="6"/>
      <c r="C68" s="6" t="s">
        <v>175</v>
      </c>
      <c r="D68" s="6"/>
      <c r="E68" s="6"/>
      <c r="F68" s="14">
        <f>Source!AL33</f>
        <v>14.63</v>
      </c>
      <c r="G68" s="6">
        <f>Source!DD33</f>
      </c>
      <c r="H68" s="6">
        <f>Source!AW33</f>
        <v>1</v>
      </c>
      <c r="I68" s="6">
        <f>Source!BC33</f>
        <v>2.43</v>
      </c>
      <c r="J68" s="14">
        <f>Source!P33</f>
        <v>0.36</v>
      </c>
      <c r="K68" s="6"/>
    </row>
    <row r="69" spans="1:11" ht="12.75">
      <c r="A69" s="6"/>
      <c r="B69" s="6"/>
      <c r="C69" s="6" t="s">
        <v>170</v>
      </c>
      <c r="D69" s="6" t="s">
        <v>171</v>
      </c>
      <c r="E69" s="6">
        <f>Source!AT33</f>
        <v>83</v>
      </c>
      <c r="F69" s="6"/>
      <c r="G69" s="6"/>
      <c r="H69" s="6"/>
      <c r="I69" s="6"/>
      <c r="J69" s="14">
        <f>Source!X33</f>
        <v>108.9</v>
      </c>
      <c r="K69" s="6"/>
    </row>
    <row r="70" spans="1:11" ht="12.75">
      <c r="A70" s="6"/>
      <c r="B70" s="6"/>
      <c r="C70" s="6" t="s">
        <v>172</v>
      </c>
      <c r="D70" s="6" t="s">
        <v>171</v>
      </c>
      <c r="E70" s="6">
        <f>Source!AU33</f>
        <v>45</v>
      </c>
      <c r="F70" s="6"/>
      <c r="G70" s="6"/>
      <c r="H70" s="6"/>
      <c r="I70" s="6"/>
      <c r="J70" s="14">
        <f>Source!Y33</f>
        <v>59.04</v>
      </c>
      <c r="K70" s="6"/>
    </row>
    <row r="71" spans="1:11" ht="12.75">
      <c r="A71" s="6"/>
      <c r="B71" s="6"/>
      <c r="C71" s="6" t="s">
        <v>178</v>
      </c>
      <c r="D71" s="6" t="s">
        <v>171</v>
      </c>
      <c r="E71" s="6">
        <v>178</v>
      </c>
      <c r="F71" s="6"/>
      <c r="G71" s="6"/>
      <c r="H71" s="6"/>
      <c r="I71" s="6"/>
      <c r="J71" s="14">
        <f>ROUND(Source!R33*E71/100,2)</f>
        <v>1.41</v>
      </c>
      <c r="K71" s="6"/>
    </row>
    <row r="72" spans="1:11" ht="12.75">
      <c r="A72" s="31"/>
      <c r="B72" s="31"/>
      <c r="C72" s="31" t="s">
        <v>173</v>
      </c>
      <c r="D72" s="31" t="s">
        <v>174</v>
      </c>
      <c r="E72" s="31">
        <f>Source!AQ33</f>
        <v>75.8</v>
      </c>
      <c r="F72" s="31"/>
      <c r="G72" s="32" t="str">
        <f>Source!DI33</f>
        <v>)*1,15</v>
      </c>
      <c r="H72" s="31">
        <f>Source!AV33</f>
        <v>1.047</v>
      </c>
      <c r="I72" s="31"/>
      <c r="J72" s="31"/>
      <c r="K72" s="33">
        <f>Source!U33</f>
        <v>0.9126698999999998</v>
      </c>
    </row>
    <row r="73" spans="9:24" ht="12.75">
      <c r="I73" s="56">
        <f>Source!S33+Source!Q33+SUM(J68:J71)</f>
        <v>302.89</v>
      </c>
      <c r="J73" s="56"/>
      <c r="K73" s="34">
        <f>IF(Source!I33&lt;&gt;0,ROUND(I73/Source!I33,2),0)</f>
        <v>30289</v>
      </c>
      <c r="N73" s="13">
        <f>I73</f>
        <v>302.89</v>
      </c>
      <c r="O73">
        <f>ROUND(IF(Source!BI33=1,(ROUND((Source!CT33/IF(Source!BA33&lt;&gt;0,Source!BA33,1)*Source!I33),2)+ROUND((Source!CR33/IF(Source!BB33&lt;&gt;0,Source!BB33,1)*Source!I33),2)+ROUND((Source!CQ33/IF(Source!BC33&lt;&gt;0,Source!BC33,1)*Source!I33),2)+((Source!DN33/100)*ROUND((Source!CT33/IF(Source!BA33&lt;&gt;0,Source!BA33,1)*Source!I33),2))+((Source!DO33/100)*ROUND((Source!CT33/IF(Source!BA33&lt;&gt;0,Source!BA33,1)*Source!I33),2))+(ROUND((Source!CS33/IF(Source!BS33&lt;&gt;0,Source!BS33,1)*Source!I33),2)*1.75)),0),2)</f>
        <v>27.48</v>
      </c>
      <c r="P73">
        <f>ROUND(IF(Source!BI33=2,(ROUND((Source!CT33/IF(Source!BA33&lt;&gt;0,Source!BA33,1)*Source!I33),2)+ROUND((Source!CR33/IF(Source!BB33&lt;&gt;0,Source!BB33,1)*Source!I33),2)+ROUND((Source!CQ33/IF(Source!BC33&lt;&gt;0,Source!BC33,1)*Source!I33),2)+((Source!DN33/100)*ROUND((Source!CT33/IF(Source!BA33&lt;&gt;0,Source!BA33,1)*Source!I33),2))+((Source!DO33/100)*ROUND((Source!CT33/IF(Source!BA33&lt;&gt;0,Source!BA33,1)*Source!I33),2))+(ROUND((Source!CS33/IF(Source!BS33&lt;&gt;0,Source!BS33,1)*Source!I33),2)*1.75)),0),2)</f>
        <v>0</v>
      </c>
      <c r="Q73">
        <f>ROUND(IF(Source!BI33=3,(ROUND((Source!CT33/IF(Source!BA33&lt;&gt;0,Source!BA33,1)*Source!I33),2)+ROUND((Source!CR33/IF(Source!BB33&lt;&gt;0,Source!BB33,1)*Source!I33),2)+ROUND((Source!CQ33/IF(Source!BC33&lt;&gt;0,Source!BC33,1)*Source!I33),2)+((Source!DN33/100)*ROUND((Source!CT33/IF(Source!BA33&lt;&gt;0,Source!BA33,1)*Source!I33),2))+((Source!DO33/100)*ROUND((Source!CT33/IF(Source!BA33&lt;&gt;0,Source!BA33,1)*Source!I33),2))+(ROUND((Source!CS33/IF(Source!BS33&lt;&gt;0,Source!BS33,1)*Source!I33),2)*1.75)),0),2)</f>
        <v>0</v>
      </c>
      <c r="R73">
        <f>ROUND(IF(Source!BI33=4,(ROUND((Source!CT33/IF(Source!BA33&lt;&gt;0,Source!BA33,1)*Source!I33),2)+ROUND((Source!CR33/IF(Source!BB33&lt;&gt;0,Source!BB33,1)*Source!I33),2)+ROUND((Source!CQ33/IF(Source!BC33&lt;&gt;0,Source!BC33,1)*Source!I33),2)+((Source!DN33/100)*ROUND((Source!CT33/IF(Source!BA33&lt;&gt;0,Source!BA33,1)*Source!I33),2))+((Source!DO33/100)*ROUND((Source!CT33/IF(Source!BA33&lt;&gt;0,Source!BA33,1)*Source!I33),2))+(ROUND((Source!CS33/IF(Source!BS33&lt;&gt;0,Source!BS33,1)*Source!I33),2)*1.75)),0),2)</f>
        <v>0</v>
      </c>
      <c r="U73">
        <f>IF(Source!BI33=1,Source!O33+Source!X33+Source!Y33+Source!R33*178/100,0)</f>
        <v>302.88620000000003</v>
      </c>
      <c r="V73">
        <f>IF(Source!BI33=2,Source!O33+Source!X33+Source!Y33+Source!R33*178/100,0)</f>
        <v>0</v>
      </c>
      <c r="W73">
        <f>IF(Source!BI33=3,Source!O33+Source!X33+Source!Y33+Source!R33*178/100,0)</f>
        <v>0</v>
      </c>
      <c r="X73">
        <f>IF(Source!BI33=4,Source!O33+Source!X33+Source!Y33+Source!R33*178/100,0)</f>
        <v>0</v>
      </c>
    </row>
    <row r="75" spans="3:10" s="9" customFormat="1" ht="12.75">
      <c r="C75" s="9" t="s">
        <v>179</v>
      </c>
      <c r="I75" s="57">
        <f>SUM(N30:N74)</f>
        <v>67400.84999999999</v>
      </c>
      <c r="J75" s="57"/>
    </row>
    <row r="77" spans="3:11" ht="12.75">
      <c r="C77" s="36" t="s">
        <v>180</v>
      </c>
      <c r="D77" s="58"/>
      <c r="E77" s="58"/>
      <c r="F77" s="58"/>
      <c r="G77" s="58"/>
      <c r="H77" s="58"/>
      <c r="I77" s="58"/>
      <c r="J77" s="58"/>
      <c r="K77" s="58"/>
    </row>
    <row r="78" spans="3:11" s="29" customFormat="1" ht="15">
      <c r="C78" s="59" t="str">
        <f>Source!H66</f>
        <v>Итого по локальной смете</v>
      </c>
      <c r="D78" s="59"/>
      <c r="E78" s="59"/>
      <c r="F78" s="59"/>
      <c r="G78" s="59"/>
      <c r="H78" s="59"/>
      <c r="I78" s="59"/>
      <c r="J78" s="60">
        <f>Source!F66</f>
        <v>67400.85</v>
      </c>
      <c r="K78" s="61"/>
    </row>
    <row r="79" spans="3:11" s="29" customFormat="1" ht="15">
      <c r="C79" s="59" t="str">
        <f>Source!H67</f>
        <v>НДС 18%</v>
      </c>
      <c r="D79" s="59"/>
      <c r="E79" s="59"/>
      <c r="F79" s="59"/>
      <c r="G79" s="59"/>
      <c r="H79" s="59"/>
      <c r="I79" s="59"/>
      <c r="J79" s="60">
        <f>Source!F67</f>
        <v>12132.15</v>
      </c>
      <c r="K79" s="61"/>
    </row>
    <row r="80" spans="3:30" s="29" customFormat="1" ht="15">
      <c r="C80" s="59" t="str">
        <f>Source!H68</f>
        <v>Всего по смете</v>
      </c>
      <c r="D80" s="59"/>
      <c r="E80" s="59"/>
      <c r="F80" s="59"/>
      <c r="G80" s="59"/>
      <c r="H80" s="59"/>
      <c r="I80" s="59"/>
      <c r="J80" s="60">
        <f>Source!F68</f>
        <v>79533</v>
      </c>
      <c r="K80" s="61"/>
      <c r="AD80" s="41">
        <f>100-4.5000000424</f>
        <v>95.4999999576</v>
      </c>
    </row>
    <row r="81" spans="3:30" s="9" customFormat="1" ht="25.5">
      <c r="C81" s="43" t="s">
        <v>185</v>
      </c>
      <c r="D81" s="39"/>
      <c r="E81" s="39"/>
      <c r="F81" s="39"/>
      <c r="G81" s="39"/>
      <c r="H81" s="39"/>
      <c r="I81" s="39"/>
      <c r="J81" s="40"/>
      <c r="K81" s="45">
        <v>71579.7</v>
      </c>
      <c r="AD81" s="42">
        <f>AD80/100</f>
        <v>0.954999999576</v>
      </c>
    </row>
    <row r="82" spans="3:11" ht="26.25">
      <c r="C82" s="43" t="s">
        <v>186</v>
      </c>
      <c r="D82" s="9"/>
      <c r="E82" s="9"/>
      <c r="F82" s="9"/>
      <c r="G82" s="9"/>
      <c r="H82" s="9"/>
      <c r="I82" s="57"/>
      <c r="J82" s="57"/>
      <c r="K82" s="44">
        <v>68358.61</v>
      </c>
    </row>
    <row r="85" ht="12.75">
      <c r="A85" t="s">
        <v>181</v>
      </c>
    </row>
    <row r="86" spans="3:11" s="38" customFormat="1" ht="12.75">
      <c r="C86" s="37" t="str">
        <f>IF(Source!AO12&lt;&gt;"",Source!AO12," ")</f>
        <v> </v>
      </c>
      <c r="D86" s="37"/>
      <c r="E86" s="37"/>
      <c r="F86" s="37"/>
      <c r="G86" s="37"/>
      <c r="H86" t="str">
        <f>IF(Source!R12&lt;&gt;"",Source!R12," ")</f>
        <v> </v>
      </c>
      <c r="I86"/>
      <c r="J86"/>
      <c r="K86"/>
    </row>
    <row r="87" spans="3:11" ht="12.75">
      <c r="C87" s="62" t="s">
        <v>182</v>
      </c>
      <c r="D87" s="62"/>
      <c r="E87" s="62"/>
      <c r="F87" s="62"/>
      <c r="G87" s="62"/>
      <c r="H87" s="38"/>
      <c r="I87" s="38"/>
      <c r="J87" s="38"/>
      <c r="K87" s="38"/>
    </row>
    <row r="88" ht="12.75">
      <c r="A88" t="s">
        <v>183</v>
      </c>
    </row>
    <row r="89" spans="3:11" s="38" customFormat="1" ht="12.75">
      <c r="C89" s="37" t="str">
        <f>IF(Source!AP12&lt;&gt;"",Source!AP12," ")</f>
        <v> </v>
      </c>
      <c r="D89" s="37"/>
      <c r="E89" s="37"/>
      <c r="F89" s="37"/>
      <c r="G89" s="37"/>
      <c r="H89" t="str">
        <f>IF(Source!S12&lt;&gt;"",Source!S12," ")</f>
        <v> </v>
      </c>
      <c r="I89"/>
      <c r="J89"/>
      <c r="K89"/>
    </row>
    <row r="90" spans="3:11" ht="12.75">
      <c r="C90" s="62" t="s">
        <v>182</v>
      </c>
      <c r="D90" s="62"/>
      <c r="E90" s="62"/>
      <c r="F90" s="62"/>
      <c r="G90" s="62"/>
      <c r="H90" s="38"/>
      <c r="I90" s="38"/>
      <c r="J90" s="38"/>
      <c r="K90" s="38"/>
    </row>
  </sheetData>
  <sheetProtection/>
  <mergeCells count="29">
    <mergeCell ref="D77:K77"/>
    <mergeCell ref="C78:I78"/>
    <mergeCell ref="J78:K78"/>
    <mergeCell ref="I82:J82"/>
    <mergeCell ref="C87:G87"/>
    <mergeCell ref="C90:G90"/>
    <mergeCell ref="C79:I79"/>
    <mergeCell ref="J79:K79"/>
    <mergeCell ref="C80:I80"/>
    <mergeCell ref="J80:K80"/>
    <mergeCell ref="I35:J35"/>
    <mergeCell ref="I42:J42"/>
    <mergeCell ref="I50:J50"/>
    <mergeCell ref="I63:J63"/>
    <mergeCell ref="I73:J73"/>
    <mergeCell ref="I75:J75"/>
    <mergeCell ref="A13:K13"/>
    <mergeCell ref="A14:K14"/>
    <mergeCell ref="B16:K16"/>
    <mergeCell ref="B17:K17"/>
    <mergeCell ref="A19:K19"/>
    <mergeCell ref="G24:I24"/>
    <mergeCell ref="F3:I3"/>
    <mergeCell ref="A5:B5"/>
    <mergeCell ref="F5:H5"/>
    <mergeCell ref="C5:D5"/>
    <mergeCell ref="I5:K5"/>
    <mergeCell ref="C7:D7"/>
    <mergeCell ref="H7:K7"/>
  </mergeCells>
  <printOptions/>
  <pageMargins left="0.38740157480315" right="0.196850393700787" top="0.393700787401575" bottom="0.393700787401575" header="0.11811023622047198" footer="0.11811023622047198"/>
  <pageSetup horizontalDpi="600" verticalDpi="600" orientation="portrait" paperSize="9" scale="75" r:id="rId1"/>
  <headerFooter alignWithMargins="0"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Y72"/>
  <sheetViews>
    <sheetView zoomScalePageLayoutView="0" workbookViewId="0" topLeftCell="A1">
      <selection activeCell="I32" sqref="I32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0</v>
      </c>
      <c r="L1">
        <v>16117</v>
      </c>
    </row>
    <row r="12" spans="1:104" ht="12.75">
      <c r="A12" s="1">
        <v>1</v>
      </c>
      <c r="B12" s="1">
        <v>1</v>
      </c>
      <c r="C12" s="1">
        <v>0</v>
      </c>
      <c r="D12" s="1">
        <f>ROW(A51)</f>
        <v>51</v>
      </c>
      <c r="E12" s="1">
        <v>0</v>
      </c>
      <c r="F12" s="1" t="s">
        <v>4</v>
      </c>
      <c r="G12" s="1" t="s">
        <v>184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5</v>
      </c>
      <c r="P12" s="1">
        <v>2011</v>
      </c>
      <c r="Q12" s="1">
        <v>12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-3</v>
      </c>
      <c r="W12" s="1" t="s">
        <v>3</v>
      </c>
      <c r="X12" s="1">
        <v>0</v>
      </c>
      <c r="Y12" s="1">
        <v>2</v>
      </c>
      <c r="Z12" s="1">
        <v>2</v>
      </c>
      <c r="AA12" s="1">
        <v>1</v>
      </c>
      <c r="AB12" s="1"/>
      <c r="AC12" s="1">
        <v>1</v>
      </c>
      <c r="AD12" s="1">
        <v>2</v>
      </c>
      <c r="AE12" s="1">
        <v>0</v>
      </c>
      <c r="AF12" s="1">
        <v>0</v>
      </c>
      <c r="AG12" s="1">
        <v>1</v>
      </c>
      <c r="AH12" s="1">
        <v>0</v>
      </c>
      <c r="AI12" s="1">
        <v>1</v>
      </c>
      <c r="AJ12" s="1">
        <v>106</v>
      </c>
      <c r="AK12" s="1">
        <v>72</v>
      </c>
      <c r="AL12" s="1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178</v>
      </c>
      <c r="BB12" s="1">
        <v>106</v>
      </c>
      <c r="BC12" s="1">
        <v>72</v>
      </c>
      <c r="BD12" s="1">
        <v>12244505</v>
      </c>
      <c r="BE12" s="1" t="s">
        <v>6</v>
      </c>
      <c r="BF12" s="1" t="s">
        <v>7</v>
      </c>
      <c r="BG12" s="1">
        <v>5064517</v>
      </c>
      <c r="BH12" s="1">
        <v>0</v>
      </c>
      <c r="BI12" s="1">
        <v>1</v>
      </c>
      <c r="BJ12" s="1"/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178</v>
      </c>
      <c r="BU12" s="1">
        <v>1</v>
      </c>
      <c r="BV12" s="1">
        <v>1</v>
      </c>
      <c r="BW12" s="1">
        <v>0</v>
      </c>
      <c r="BX12" s="1">
        <v>0</v>
      </c>
      <c r="BY12" s="1">
        <v>0</v>
      </c>
      <c r="BZ12" s="1">
        <v>0</v>
      </c>
      <c r="CA12" s="1">
        <v>5063381</v>
      </c>
      <c r="CB12" s="1">
        <v>5063365</v>
      </c>
      <c r="CC12" s="1">
        <v>5063363</v>
      </c>
      <c r="CD12" s="1">
        <v>5063361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5090586</v>
      </c>
      <c r="CL12" s="1" t="s">
        <v>8</v>
      </c>
      <c r="CM12" s="1" t="s">
        <v>9</v>
      </c>
      <c r="CN12" s="1" t="s">
        <v>10</v>
      </c>
      <c r="CO12" s="1" t="s">
        <v>10</v>
      </c>
      <c r="CP12" s="1" t="s">
        <v>10</v>
      </c>
      <c r="CQ12" s="1" t="s">
        <v>10</v>
      </c>
      <c r="CR12" s="1" t="s">
        <v>11</v>
      </c>
      <c r="CS12" s="1">
        <v>6907655</v>
      </c>
      <c r="CT12" s="1">
        <v>0</v>
      </c>
      <c r="CU12" s="1">
        <v>0</v>
      </c>
      <c r="CV12" s="1">
        <v>5309002</v>
      </c>
      <c r="CW12" s="1">
        <v>13335142</v>
      </c>
      <c r="CX12" s="1">
        <v>15498078</v>
      </c>
      <c r="CY12" s="1">
        <v>8</v>
      </c>
      <c r="CZ12" s="1" t="s">
        <v>3</v>
      </c>
    </row>
    <row r="15" spans="1:104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8" spans="1:43" ht="12.75">
      <c r="A18" s="2">
        <v>52</v>
      </c>
      <c r="B18" s="2">
        <f aca="true" t="shared" si="0" ref="B18:AQ18">B51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Демонтаж горючей краски с последующей окраской негорючими материалами в СОШ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37115.09</v>
      </c>
      <c r="P18" s="2">
        <f t="shared" si="0"/>
        <v>14704.63</v>
      </c>
      <c r="Q18" s="2">
        <f t="shared" si="0"/>
        <v>280.93</v>
      </c>
      <c r="R18" s="2">
        <f t="shared" si="0"/>
        <v>112.42</v>
      </c>
      <c r="S18" s="2">
        <f t="shared" si="0"/>
        <v>22129.53</v>
      </c>
      <c r="T18" s="2">
        <f t="shared" si="0"/>
        <v>0</v>
      </c>
      <c r="U18" s="2">
        <f t="shared" si="0"/>
        <v>154.62</v>
      </c>
      <c r="V18" s="2">
        <f t="shared" si="0"/>
        <v>0</v>
      </c>
      <c r="W18" s="2">
        <f t="shared" si="0"/>
        <v>0</v>
      </c>
      <c r="X18" s="2">
        <f t="shared" si="0"/>
        <v>20127.36</v>
      </c>
      <c r="Y18" s="2">
        <f t="shared" si="0"/>
        <v>9958.29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  <c r="AN18" s="2">
        <f t="shared" si="0"/>
        <v>0</v>
      </c>
      <c r="AO18" s="2">
        <f t="shared" si="0"/>
        <v>0</v>
      </c>
      <c r="AP18" s="2">
        <f t="shared" si="0"/>
        <v>0</v>
      </c>
      <c r="AQ18" s="2">
        <f t="shared" si="0"/>
        <v>0</v>
      </c>
    </row>
    <row r="19" ht="12.75">
      <c r="G19">
        <v>0</v>
      </c>
    </row>
    <row r="20" spans="1:67" ht="12.75">
      <c r="A20" s="1">
        <v>3</v>
      </c>
      <c r="B20" s="1">
        <v>1</v>
      </c>
      <c r="C20" s="1"/>
      <c r="D20" s="1">
        <f>ROW(A35)</f>
        <v>35</v>
      </c>
      <c r="E20" s="1"/>
      <c r="F20" s="1"/>
      <c r="G20" s="1" t="s">
        <v>12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AN20" s="1"/>
      <c r="AO20" s="1" t="s">
        <v>3</v>
      </c>
      <c r="AP20" s="1" t="s">
        <v>3</v>
      </c>
      <c r="AQ20" s="1" t="s">
        <v>3</v>
      </c>
      <c r="AR20" s="1"/>
      <c r="AS20" s="1"/>
      <c r="AT20" s="1" t="s">
        <v>3</v>
      </c>
      <c r="AU20" s="1" t="s">
        <v>3</v>
      </c>
      <c r="AV20" s="1" t="s">
        <v>3</v>
      </c>
      <c r="AW20" s="1" t="s">
        <v>3</v>
      </c>
      <c r="AX20" s="1" t="s">
        <v>3</v>
      </c>
      <c r="AY20" s="1" t="s">
        <v>3</v>
      </c>
      <c r="AZ20" s="1" t="s">
        <v>3</v>
      </c>
      <c r="BA20" s="1" t="s">
        <v>3</v>
      </c>
      <c r="BB20" s="1" t="s">
        <v>3</v>
      </c>
      <c r="BC20" s="1" t="s">
        <v>3</v>
      </c>
      <c r="BD20" s="1" t="s">
        <v>3</v>
      </c>
      <c r="BE20" s="1" t="s">
        <v>13</v>
      </c>
      <c r="BF20" s="1">
        <v>0</v>
      </c>
      <c r="BG20" s="1">
        <v>0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>
        <v>0</v>
      </c>
      <c r="BN20" s="1" t="s">
        <v>3</v>
      </c>
      <c r="BO20" s="1" t="s">
        <v>3</v>
      </c>
    </row>
    <row r="22" spans="1:43" ht="12.75">
      <c r="A22" s="2">
        <v>52</v>
      </c>
      <c r="B22" s="2">
        <f aca="true" t="shared" si="1" ref="B22:AQ22">B35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>
        <f t="shared" si="1"/>
      </c>
      <c r="G22" s="2" t="str">
        <f t="shared" si="1"/>
        <v>Новая локальная смета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37115.09</v>
      </c>
      <c r="P22" s="2">
        <f t="shared" si="1"/>
        <v>14704.63</v>
      </c>
      <c r="Q22" s="2">
        <f t="shared" si="1"/>
        <v>280.93</v>
      </c>
      <c r="R22" s="2">
        <f t="shared" si="1"/>
        <v>112.42</v>
      </c>
      <c r="S22" s="2">
        <f t="shared" si="1"/>
        <v>22129.53</v>
      </c>
      <c r="T22" s="2">
        <f t="shared" si="1"/>
        <v>0</v>
      </c>
      <c r="U22" s="2">
        <f t="shared" si="1"/>
        <v>154.62</v>
      </c>
      <c r="V22" s="2">
        <f t="shared" si="1"/>
        <v>0</v>
      </c>
      <c r="W22" s="2">
        <f t="shared" si="1"/>
        <v>0</v>
      </c>
      <c r="X22" s="2">
        <f t="shared" si="1"/>
        <v>20127.36</v>
      </c>
      <c r="Y22" s="2">
        <f t="shared" si="1"/>
        <v>9958.29</v>
      </c>
      <c r="Z22" s="2">
        <f t="shared" si="1"/>
        <v>0</v>
      </c>
      <c r="AA22" s="2">
        <f t="shared" si="1"/>
        <v>0</v>
      </c>
      <c r="AB22" s="2">
        <f t="shared" si="1"/>
        <v>37115.09</v>
      </c>
      <c r="AC22" s="2">
        <f t="shared" si="1"/>
        <v>14704.63</v>
      </c>
      <c r="AD22" s="2">
        <f t="shared" si="1"/>
        <v>280.93</v>
      </c>
      <c r="AE22" s="2">
        <f t="shared" si="1"/>
        <v>112.42</v>
      </c>
      <c r="AF22" s="2">
        <f t="shared" si="1"/>
        <v>22129.53</v>
      </c>
      <c r="AG22" s="2">
        <f t="shared" si="1"/>
        <v>0</v>
      </c>
      <c r="AH22" s="2">
        <f t="shared" si="1"/>
        <v>154.62</v>
      </c>
      <c r="AI22" s="2">
        <f t="shared" si="1"/>
        <v>0</v>
      </c>
      <c r="AJ22" s="2">
        <f t="shared" si="1"/>
        <v>0</v>
      </c>
      <c r="AK22" s="2">
        <f t="shared" si="1"/>
        <v>20127.36</v>
      </c>
      <c r="AL22" s="2">
        <f t="shared" si="1"/>
        <v>9958.29</v>
      </c>
      <c r="AM22" s="2">
        <f t="shared" si="1"/>
        <v>0</v>
      </c>
      <c r="AN22" s="2">
        <f t="shared" si="1"/>
        <v>0</v>
      </c>
      <c r="AO22" s="2">
        <f t="shared" si="1"/>
        <v>0</v>
      </c>
      <c r="AP22" s="2">
        <f t="shared" si="1"/>
        <v>0</v>
      </c>
      <c r="AQ22" s="2">
        <f t="shared" si="1"/>
        <v>0</v>
      </c>
    </row>
    <row r="24" spans="1:181" ht="12.75">
      <c r="A24">
        <v>17</v>
      </c>
      <c r="B24">
        <v>1</v>
      </c>
      <c r="C24">
        <f>ROW(SmtRes!A1)</f>
        <v>1</v>
      </c>
      <c r="D24">
        <f>ROW(EtalonRes!A1)</f>
        <v>1</v>
      </c>
      <c r="E24" t="s">
        <v>14</v>
      </c>
      <c r="F24" t="s">
        <v>15</v>
      </c>
      <c r="G24" t="s">
        <v>16</v>
      </c>
      <c r="H24" t="s">
        <v>17</v>
      </c>
      <c r="I24">
        <v>100</v>
      </c>
      <c r="J24">
        <v>0</v>
      </c>
      <c r="O24">
        <f aca="true" t="shared" si="2" ref="O24:O33">ROUND(CP24,2)</f>
        <v>7979.73</v>
      </c>
      <c r="P24">
        <f aca="true" t="shared" si="3" ref="P24:P33">ROUND(CQ24*I24,2)</f>
        <v>0</v>
      </c>
      <c r="Q24">
        <f aca="true" t="shared" si="4" ref="Q24:Q33">ROUND(CR24*I24,2)</f>
        <v>0</v>
      </c>
      <c r="R24">
        <f aca="true" t="shared" si="5" ref="R24:R33">ROUND(CS24*I24,2)</f>
        <v>0</v>
      </c>
      <c r="S24">
        <f aca="true" t="shared" si="6" ref="S24:S33">ROUND(CT24*I24,2)</f>
        <v>7979.73</v>
      </c>
      <c r="T24">
        <f aca="true" t="shared" si="7" ref="T24:T33">ROUND(CU24*I24,2)</f>
        <v>0</v>
      </c>
      <c r="U24">
        <f aca="true" t="shared" si="8" ref="U24:U33">CV24*I24</f>
        <v>61.499999999999986</v>
      </c>
      <c r="V24">
        <f aca="true" t="shared" si="9" ref="V24:V33">CW24*I24</f>
        <v>0</v>
      </c>
      <c r="W24">
        <f aca="true" t="shared" si="10" ref="W24:W33">ROUND(CX24*I24,2)</f>
        <v>0</v>
      </c>
      <c r="X24">
        <f aca="true" t="shared" si="11" ref="X24:X33">ROUND(CY24,2)</f>
        <v>7261.55</v>
      </c>
      <c r="Y24">
        <f aca="true" t="shared" si="12" ref="Y24:Y33">ROUND(CZ24,2)</f>
        <v>3590.88</v>
      </c>
      <c r="AA24">
        <v>0</v>
      </c>
      <c r="AB24">
        <f aca="true" t="shared" si="13" ref="AB24:AB33">(AC24+AD24+AF24)</f>
        <v>6.13</v>
      </c>
      <c r="AC24">
        <f aca="true" t="shared" si="14" ref="AC24:AF25">(ES24)</f>
        <v>0</v>
      </c>
      <c r="AD24">
        <f t="shared" si="14"/>
        <v>0</v>
      </c>
      <c r="AE24">
        <f t="shared" si="14"/>
        <v>0</v>
      </c>
      <c r="AF24">
        <f t="shared" si="14"/>
        <v>6.13</v>
      </c>
      <c r="AG24">
        <f>(AP24)</f>
        <v>0</v>
      </c>
      <c r="AH24">
        <f>(EW24)</f>
        <v>0.6</v>
      </c>
      <c r="AI24">
        <f>(EX24)</f>
        <v>0</v>
      </c>
      <c r="AJ24">
        <f>(AS24)</f>
        <v>0</v>
      </c>
      <c r="AK24">
        <v>6.13</v>
      </c>
      <c r="AL24">
        <v>0</v>
      </c>
      <c r="AM24">
        <v>0</v>
      </c>
      <c r="AN24">
        <v>0</v>
      </c>
      <c r="AO24">
        <v>6.13</v>
      </c>
      <c r="AP24">
        <v>0</v>
      </c>
      <c r="AQ24">
        <v>0.6</v>
      </c>
      <c r="AR24">
        <v>0</v>
      </c>
      <c r="AS24">
        <v>0</v>
      </c>
      <c r="AT24">
        <v>91</v>
      </c>
      <c r="AU24">
        <v>45</v>
      </c>
      <c r="AV24">
        <v>1.025</v>
      </c>
      <c r="AW24">
        <v>1</v>
      </c>
      <c r="AX24">
        <v>1</v>
      </c>
      <c r="AY24">
        <v>1</v>
      </c>
      <c r="AZ24">
        <v>12.7</v>
      </c>
      <c r="BA24">
        <v>12.7</v>
      </c>
      <c r="BB24">
        <v>1</v>
      </c>
      <c r="BC24">
        <v>1</v>
      </c>
      <c r="BH24">
        <v>0</v>
      </c>
      <c r="BI24">
        <v>1</v>
      </c>
      <c r="BJ24" t="s">
        <v>18</v>
      </c>
      <c r="BM24">
        <v>478</v>
      </c>
      <c r="BN24">
        <v>0</v>
      </c>
      <c r="BO24" t="s">
        <v>15</v>
      </c>
      <c r="BP24">
        <v>1</v>
      </c>
      <c r="BQ24">
        <v>60</v>
      </c>
      <c r="BR24">
        <v>0</v>
      </c>
      <c r="BS24">
        <v>12.7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91</v>
      </c>
      <c r="CA24">
        <v>45</v>
      </c>
      <c r="CF24">
        <v>0</v>
      </c>
      <c r="CG24">
        <v>0</v>
      </c>
      <c r="CM24">
        <v>0</v>
      </c>
      <c r="CO24">
        <v>0</v>
      </c>
      <c r="CP24">
        <f aca="true" t="shared" si="15" ref="CP24:CP33">(P24+Q24+S24)</f>
        <v>7979.73</v>
      </c>
      <c r="CQ24">
        <f aca="true" t="shared" si="16" ref="CQ24:CQ33">((AC24*AW24))*BC24</f>
        <v>0</v>
      </c>
      <c r="CR24">
        <f aca="true" t="shared" si="17" ref="CR24:CR33">((AD24*AV24))*BB24</f>
        <v>0</v>
      </c>
      <c r="CS24">
        <f aca="true" t="shared" si="18" ref="CS24:CS33">((AE24*AV24))*BS24</f>
        <v>0</v>
      </c>
      <c r="CT24">
        <f aca="true" t="shared" si="19" ref="CT24:CT33">((AF24*AV24))*BA24</f>
        <v>79.797275</v>
      </c>
      <c r="CU24">
        <f aca="true" t="shared" si="20" ref="CU24:CU33">(AG24)*BT24</f>
        <v>0</v>
      </c>
      <c r="CV24">
        <f aca="true" t="shared" si="21" ref="CV24:CV33">((AH24*AV24))*BU24</f>
        <v>0.6149999999999999</v>
      </c>
      <c r="CW24">
        <f aca="true" t="shared" si="22" ref="CW24:CW33">(AI24)*BV24</f>
        <v>0</v>
      </c>
      <c r="CX24">
        <f aca="true" t="shared" si="23" ref="CX24:CX33">(AJ24)*BW24</f>
        <v>0</v>
      </c>
      <c r="CY24">
        <f aca="true" t="shared" si="24" ref="CY24:CY33">S24*(BZ24/100)</f>
        <v>7261.5543</v>
      </c>
      <c r="CZ24">
        <f aca="true" t="shared" si="25" ref="CZ24:CZ33">S24*(CA24/100)</f>
        <v>3590.8785</v>
      </c>
      <c r="DN24">
        <v>100</v>
      </c>
      <c r="DO24">
        <v>64</v>
      </c>
      <c r="DP24">
        <v>1.025</v>
      </c>
      <c r="DQ24">
        <v>1</v>
      </c>
      <c r="DR24">
        <v>1</v>
      </c>
      <c r="DS24">
        <v>1</v>
      </c>
      <c r="DT24">
        <v>1</v>
      </c>
      <c r="DU24">
        <v>1005</v>
      </c>
      <c r="DV24" t="s">
        <v>17</v>
      </c>
      <c r="DW24" t="s">
        <v>17</v>
      </c>
      <c r="DX24">
        <v>1</v>
      </c>
      <c r="EE24">
        <v>15062059</v>
      </c>
      <c r="EF24">
        <v>60</v>
      </c>
      <c r="EG24" t="s">
        <v>19</v>
      </c>
      <c r="EH24">
        <v>0</v>
      </c>
      <c r="EJ24">
        <v>1</v>
      </c>
      <c r="EK24">
        <v>478</v>
      </c>
      <c r="EL24" t="s">
        <v>20</v>
      </c>
      <c r="EM24" t="s">
        <v>21</v>
      </c>
      <c r="EQ24">
        <v>64</v>
      </c>
      <c r="ER24">
        <v>6.13</v>
      </c>
      <c r="ES24">
        <v>0</v>
      </c>
      <c r="ET24">
        <v>0</v>
      </c>
      <c r="EU24">
        <v>0</v>
      </c>
      <c r="EV24">
        <v>6.13</v>
      </c>
      <c r="EW24">
        <v>0.6</v>
      </c>
      <c r="EX24">
        <v>0</v>
      </c>
      <c r="EY24">
        <v>0</v>
      </c>
      <c r="EZ24">
        <v>0</v>
      </c>
      <c r="FQ24">
        <v>0</v>
      </c>
      <c r="FR24">
        <f aca="true" t="shared" si="26" ref="FR24:FR33">ROUND(IF(AND(AA24=0,BI24=3),P24,0),2)</f>
        <v>0</v>
      </c>
      <c r="FS24">
        <v>0</v>
      </c>
      <c r="FX24">
        <v>91</v>
      </c>
      <c r="FY24">
        <v>45</v>
      </c>
    </row>
    <row r="25" spans="1:181" ht="12.75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22</v>
      </c>
      <c r="F25" t="s">
        <v>23</v>
      </c>
      <c r="G25" t="s">
        <v>24</v>
      </c>
      <c r="H25" t="s">
        <v>25</v>
      </c>
      <c r="I25">
        <v>0.195</v>
      </c>
      <c r="J25">
        <v>0</v>
      </c>
      <c r="O25">
        <f t="shared" si="2"/>
        <v>7011.73</v>
      </c>
      <c r="P25">
        <f t="shared" si="3"/>
        <v>0</v>
      </c>
      <c r="Q25">
        <f t="shared" si="4"/>
        <v>0</v>
      </c>
      <c r="R25">
        <f t="shared" si="5"/>
        <v>0</v>
      </c>
      <c r="S25">
        <f t="shared" si="6"/>
        <v>7011.73</v>
      </c>
      <c r="T25">
        <f t="shared" si="7"/>
        <v>0</v>
      </c>
      <c r="U25">
        <f t="shared" si="8"/>
        <v>45.291675</v>
      </c>
      <c r="V25">
        <f t="shared" si="9"/>
        <v>0</v>
      </c>
      <c r="W25">
        <f t="shared" si="10"/>
        <v>0</v>
      </c>
      <c r="X25">
        <f t="shared" si="11"/>
        <v>6380.67</v>
      </c>
      <c r="Y25">
        <f t="shared" si="12"/>
        <v>3155.28</v>
      </c>
      <c r="AA25">
        <v>0</v>
      </c>
      <c r="AB25">
        <f t="shared" si="13"/>
        <v>2762.25</v>
      </c>
      <c r="AC25">
        <f t="shared" si="14"/>
        <v>0</v>
      </c>
      <c r="AD25">
        <f t="shared" si="14"/>
        <v>0</v>
      </c>
      <c r="AE25">
        <f t="shared" si="14"/>
        <v>0</v>
      </c>
      <c r="AF25">
        <f t="shared" si="14"/>
        <v>2762.25</v>
      </c>
      <c r="AG25">
        <f>(AP25)</f>
        <v>0</v>
      </c>
      <c r="AH25">
        <f>(EW25)</f>
        <v>226.6</v>
      </c>
      <c r="AI25">
        <f>(EX25)</f>
        <v>0</v>
      </c>
      <c r="AJ25">
        <f>(AS25)</f>
        <v>0</v>
      </c>
      <c r="AK25">
        <v>2762.25</v>
      </c>
      <c r="AL25">
        <v>0</v>
      </c>
      <c r="AM25">
        <v>0</v>
      </c>
      <c r="AN25">
        <v>0</v>
      </c>
      <c r="AO25">
        <v>2762.25</v>
      </c>
      <c r="AP25">
        <v>0</v>
      </c>
      <c r="AQ25">
        <v>226.6</v>
      </c>
      <c r="AR25">
        <v>0</v>
      </c>
      <c r="AS25">
        <v>0</v>
      </c>
      <c r="AT25">
        <v>91</v>
      </c>
      <c r="AU25">
        <v>45</v>
      </c>
      <c r="AV25">
        <v>1.025</v>
      </c>
      <c r="AW25">
        <v>1</v>
      </c>
      <c r="AX25">
        <v>1</v>
      </c>
      <c r="AY25">
        <v>1</v>
      </c>
      <c r="AZ25">
        <v>12.7</v>
      </c>
      <c r="BA25">
        <v>12.7</v>
      </c>
      <c r="BB25">
        <v>1</v>
      </c>
      <c r="BC25">
        <v>1</v>
      </c>
      <c r="BH25">
        <v>0</v>
      </c>
      <c r="BI25">
        <v>1</v>
      </c>
      <c r="BJ25" t="s">
        <v>26</v>
      </c>
      <c r="BM25">
        <v>454</v>
      </c>
      <c r="BN25">
        <v>0</v>
      </c>
      <c r="BO25" t="s">
        <v>23</v>
      </c>
      <c r="BP25">
        <v>1</v>
      </c>
      <c r="BQ25">
        <v>60</v>
      </c>
      <c r="BR25">
        <v>0</v>
      </c>
      <c r="BS25">
        <v>12.7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91</v>
      </c>
      <c r="CA25">
        <v>45</v>
      </c>
      <c r="CF25">
        <v>0</v>
      </c>
      <c r="CG25">
        <v>0</v>
      </c>
      <c r="CM25">
        <v>0</v>
      </c>
      <c r="CO25">
        <v>0</v>
      </c>
      <c r="CP25">
        <f t="shared" si="15"/>
        <v>7011.73</v>
      </c>
      <c r="CQ25">
        <f t="shared" si="16"/>
        <v>0</v>
      </c>
      <c r="CR25">
        <f t="shared" si="17"/>
        <v>0</v>
      </c>
      <c r="CS25">
        <f t="shared" si="18"/>
        <v>0</v>
      </c>
      <c r="CT25">
        <f t="shared" si="19"/>
        <v>35957.589374999996</v>
      </c>
      <c r="CU25">
        <f t="shared" si="20"/>
        <v>0</v>
      </c>
      <c r="CV25">
        <f t="shared" si="21"/>
        <v>232.265</v>
      </c>
      <c r="CW25">
        <f t="shared" si="22"/>
        <v>0</v>
      </c>
      <c r="CX25">
        <f t="shared" si="23"/>
        <v>0</v>
      </c>
      <c r="CY25">
        <f t="shared" si="24"/>
        <v>6380.6743</v>
      </c>
      <c r="CZ25">
        <f t="shared" si="25"/>
        <v>3155.2785</v>
      </c>
      <c r="DN25">
        <v>100</v>
      </c>
      <c r="DO25">
        <v>64</v>
      </c>
      <c r="DP25">
        <v>1.025</v>
      </c>
      <c r="DQ25">
        <v>1</v>
      </c>
      <c r="DR25">
        <v>1</v>
      </c>
      <c r="DS25">
        <v>1</v>
      </c>
      <c r="DT25">
        <v>1</v>
      </c>
      <c r="DU25">
        <v>1005</v>
      </c>
      <c r="DV25" t="s">
        <v>25</v>
      </c>
      <c r="DW25" t="s">
        <v>25</v>
      </c>
      <c r="DX25">
        <v>100</v>
      </c>
      <c r="EE25">
        <v>15062035</v>
      </c>
      <c r="EF25">
        <v>60</v>
      </c>
      <c r="EG25" t="s">
        <v>19</v>
      </c>
      <c r="EH25">
        <v>0</v>
      </c>
      <c r="EJ25">
        <v>1</v>
      </c>
      <c r="EK25">
        <v>454</v>
      </c>
      <c r="EL25" t="s">
        <v>27</v>
      </c>
      <c r="EM25" t="s">
        <v>28</v>
      </c>
      <c r="EQ25">
        <v>64</v>
      </c>
      <c r="ER25">
        <v>2762.25</v>
      </c>
      <c r="ES25">
        <v>0</v>
      </c>
      <c r="ET25">
        <v>0</v>
      </c>
      <c r="EU25">
        <v>0</v>
      </c>
      <c r="EV25">
        <v>2762.25</v>
      </c>
      <c r="EW25">
        <v>226.6</v>
      </c>
      <c r="EX25">
        <v>0</v>
      </c>
      <c r="EY25">
        <v>0</v>
      </c>
      <c r="EZ25">
        <v>0</v>
      </c>
      <c r="FQ25">
        <v>0</v>
      </c>
      <c r="FR25">
        <f t="shared" si="26"/>
        <v>0</v>
      </c>
      <c r="FS25">
        <v>0</v>
      </c>
      <c r="FX25">
        <v>91</v>
      </c>
      <c r="FY25">
        <v>45</v>
      </c>
    </row>
    <row r="26" spans="1:181" ht="12.75">
      <c r="A26">
        <v>18</v>
      </c>
      <c r="B26">
        <v>1</v>
      </c>
      <c r="C26">
        <v>4</v>
      </c>
      <c r="E26" t="s">
        <v>29</v>
      </c>
      <c r="F26" t="s">
        <v>30</v>
      </c>
      <c r="G26" t="s">
        <v>31</v>
      </c>
      <c r="H26" t="s">
        <v>32</v>
      </c>
      <c r="I26">
        <f>I25*J26</f>
        <v>0.44075000000000003</v>
      </c>
      <c r="J26">
        <v>2.26025641025641</v>
      </c>
      <c r="O26">
        <f t="shared" si="2"/>
        <v>1524.35</v>
      </c>
      <c r="P26">
        <f t="shared" si="3"/>
        <v>1524.35</v>
      </c>
      <c r="Q26">
        <f t="shared" si="4"/>
        <v>0</v>
      </c>
      <c r="R26">
        <f t="shared" si="5"/>
        <v>0</v>
      </c>
      <c r="S26">
        <f t="shared" si="6"/>
        <v>0</v>
      </c>
      <c r="T26">
        <f t="shared" si="7"/>
        <v>0</v>
      </c>
      <c r="U26">
        <f t="shared" si="8"/>
        <v>0</v>
      </c>
      <c r="V26">
        <f t="shared" si="9"/>
        <v>0</v>
      </c>
      <c r="W26">
        <f t="shared" si="10"/>
        <v>0</v>
      </c>
      <c r="X26">
        <f t="shared" si="11"/>
        <v>0</v>
      </c>
      <c r="Y26">
        <f t="shared" si="12"/>
        <v>0</v>
      </c>
      <c r="AA26">
        <v>0</v>
      </c>
      <c r="AB26">
        <f t="shared" si="13"/>
        <v>481.69</v>
      </c>
      <c r="AC26">
        <f aca="true" t="shared" si="27" ref="AC26:AJ26">AL26</f>
        <v>481.69</v>
      </c>
      <c r="AD26">
        <f t="shared" si="27"/>
        <v>0</v>
      </c>
      <c r="AE26">
        <f t="shared" si="27"/>
        <v>0</v>
      </c>
      <c r="AF26">
        <f t="shared" si="27"/>
        <v>0</v>
      </c>
      <c r="AG26">
        <f t="shared" si="27"/>
        <v>0</v>
      </c>
      <c r="AH26">
        <f t="shared" si="27"/>
        <v>0</v>
      </c>
      <c r="AI26">
        <f t="shared" si="27"/>
        <v>0</v>
      </c>
      <c r="AJ26">
        <f t="shared" si="27"/>
        <v>0</v>
      </c>
      <c r="AK26">
        <v>481.69</v>
      </c>
      <c r="AL26">
        <v>481.69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7.18</v>
      </c>
      <c r="BH26">
        <v>3</v>
      </c>
      <c r="BI26">
        <v>1</v>
      </c>
      <c r="BJ26" t="s">
        <v>33</v>
      </c>
      <c r="BM26">
        <v>454</v>
      </c>
      <c r="BN26">
        <v>0</v>
      </c>
      <c r="BO26" t="s">
        <v>30</v>
      </c>
      <c r="BP26">
        <v>1</v>
      </c>
      <c r="BQ26">
        <v>60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0</v>
      </c>
      <c r="CA26">
        <v>0</v>
      </c>
      <c r="CF26">
        <v>0</v>
      </c>
      <c r="CG26">
        <v>0</v>
      </c>
      <c r="CM26">
        <v>0</v>
      </c>
      <c r="CO26">
        <v>0</v>
      </c>
      <c r="CP26">
        <f t="shared" si="15"/>
        <v>1524.35</v>
      </c>
      <c r="CQ26">
        <f t="shared" si="16"/>
        <v>3458.5342</v>
      </c>
      <c r="CR26">
        <f t="shared" si="17"/>
        <v>0</v>
      </c>
      <c r="CS26">
        <f t="shared" si="18"/>
        <v>0</v>
      </c>
      <c r="CT26">
        <f t="shared" si="19"/>
        <v>0</v>
      </c>
      <c r="CU26">
        <f t="shared" si="20"/>
        <v>0</v>
      </c>
      <c r="CV26">
        <f t="shared" si="21"/>
        <v>0</v>
      </c>
      <c r="CW26">
        <f t="shared" si="22"/>
        <v>0</v>
      </c>
      <c r="CX26">
        <f t="shared" si="23"/>
        <v>0</v>
      </c>
      <c r="CY26">
        <f t="shared" si="24"/>
        <v>0</v>
      </c>
      <c r="CZ26">
        <f t="shared" si="25"/>
        <v>0</v>
      </c>
      <c r="DN26">
        <v>100</v>
      </c>
      <c r="DO26">
        <v>64</v>
      </c>
      <c r="DP26">
        <v>1.025</v>
      </c>
      <c r="DQ26">
        <v>1</v>
      </c>
      <c r="DR26">
        <v>1</v>
      </c>
      <c r="DS26">
        <v>1</v>
      </c>
      <c r="DT26">
        <v>1</v>
      </c>
      <c r="DU26">
        <v>1007</v>
      </c>
      <c r="DV26" t="s">
        <v>32</v>
      </c>
      <c r="DW26" t="s">
        <v>32</v>
      </c>
      <c r="DX26">
        <v>1</v>
      </c>
      <c r="EE26">
        <v>15062035</v>
      </c>
      <c r="EF26">
        <v>60</v>
      </c>
      <c r="EG26" t="s">
        <v>19</v>
      </c>
      <c r="EH26">
        <v>0</v>
      </c>
      <c r="EJ26">
        <v>1</v>
      </c>
      <c r="EK26">
        <v>454</v>
      </c>
      <c r="EL26" t="s">
        <v>27</v>
      </c>
      <c r="EM26" t="s">
        <v>28</v>
      </c>
      <c r="EQ26">
        <v>0</v>
      </c>
      <c r="ER26">
        <v>481.69</v>
      </c>
      <c r="ES26">
        <v>481.69</v>
      </c>
      <c r="ET26">
        <v>0</v>
      </c>
      <c r="EU26">
        <v>0</v>
      </c>
      <c r="EV26">
        <v>0</v>
      </c>
      <c r="EW26">
        <v>0</v>
      </c>
      <c r="EX26">
        <v>0</v>
      </c>
      <c r="EZ26">
        <v>0</v>
      </c>
      <c r="FQ26">
        <v>0</v>
      </c>
      <c r="FR26">
        <f t="shared" si="26"/>
        <v>0</v>
      </c>
      <c r="FS26">
        <v>0</v>
      </c>
      <c r="FX26">
        <v>0</v>
      </c>
      <c r="FY26">
        <v>0</v>
      </c>
    </row>
    <row r="27" spans="1:181" ht="12.75">
      <c r="A27">
        <v>17</v>
      </c>
      <c r="B27">
        <v>1</v>
      </c>
      <c r="C27">
        <f>ROW(SmtRes!A7)</f>
        <v>7</v>
      </c>
      <c r="D27">
        <f>ROW(EtalonRes!A7)</f>
        <v>7</v>
      </c>
      <c r="E27" t="s">
        <v>34</v>
      </c>
      <c r="F27" t="s">
        <v>35</v>
      </c>
      <c r="G27" t="s">
        <v>36</v>
      </c>
      <c r="H27" t="s">
        <v>25</v>
      </c>
      <c r="I27">
        <v>0.051</v>
      </c>
      <c r="J27">
        <v>0</v>
      </c>
      <c r="O27">
        <f t="shared" si="2"/>
        <v>211.71</v>
      </c>
      <c r="P27">
        <f t="shared" si="3"/>
        <v>70.75</v>
      </c>
      <c r="Q27">
        <f t="shared" si="4"/>
        <v>0</v>
      </c>
      <c r="R27">
        <f t="shared" si="5"/>
        <v>0</v>
      </c>
      <c r="S27">
        <f t="shared" si="6"/>
        <v>140.96</v>
      </c>
      <c r="T27">
        <f t="shared" si="7"/>
        <v>0</v>
      </c>
      <c r="U27">
        <f t="shared" si="8"/>
        <v>0.9438251249999997</v>
      </c>
      <c r="V27">
        <f t="shared" si="9"/>
        <v>0</v>
      </c>
      <c r="W27">
        <f t="shared" si="10"/>
        <v>0</v>
      </c>
      <c r="X27">
        <f t="shared" si="11"/>
        <v>128.27</v>
      </c>
      <c r="Y27">
        <f t="shared" si="12"/>
        <v>63.43</v>
      </c>
      <c r="AA27">
        <v>0</v>
      </c>
      <c r="AB27">
        <f t="shared" si="13"/>
        <v>1149.5945</v>
      </c>
      <c r="AC27">
        <f>(ES27)</f>
        <v>937.27</v>
      </c>
      <c r="AD27">
        <f>((ET27*1.25))</f>
        <v>0</v>
      </c>
      <c r="AE27">
        <f>((EU27*1.25))</f>
        <v>0</v>
      </c>
      <c r="AF27">
        <f>((EV27*1.15))</f>
        <v>212.32449999999997</v>
      </c>
      <c r="AG27">
        <f>(AP27)</f>
        <v>0</v>
      </c>
      <c r="AH27">
        <f>((EW27*1.15))</f>
        <v>18.054999999999996</v>
      </c>
      <c r="AI27">
        <f>((EX27*1.25))</f>
        <v>0</v>
      </c>
      <c r="AJ27">
        <f>(AS27)</f>
        <v>0</v>
      </c>
      <c r="AK27">
        <v>1121.9</v>
      </c>
      <c r="AL27">
        <v>937.27</v>
      </c>
      <c r="AM27">
        <v>0</v>
      </c>
      <c r="AN27">
        <v>0</v>
      </c>
      <c r="AO27">
        <v>184.63</v>
      </c>
      <c r="AP27">
        <v>0</v>
      </c>
      <c r="AQ27">
        <v>15.7</v>
      </c>
      <c r="AR27">
        <v>0</v>
      </c>
      <c r="AS27">
        <v>0</v>
      </c>
      <c r="AT27">
        <v>91</v>
      </c>
      <c r="AU27">
        <v>45</v>
      </c>
      <c r="AV27">
        <v>1.025</v>
      </c>
      <c r="AW27">
        <v>1</v>
      </c>
      <c r="AX27">
        <v>1</v>
      </c>
      <c r="AY27">
        <v>1</v>
      </c>
      <c r="AZ27">
        <v>12.7</v>
      </c>
      <c r="BA27">
        <v>12.7</v>
      </c>
      <c r="BB27">
        <v>1</v>
      </c>
      <c r="BC27">
        <v>1.48</v>
      </c>
      <c r="BH27">
        <v>0</v>
      </c>
      <c r="BI27">
        <v>1</v>
      </c>
      <c r="BJ27" t="s">
        <v>37</v>
      </c>
      <c r="BM27">
        <v>117</v>
      </c>
      <c r="BN27">
        <v>0</v>
      </c>
      <c r="BO27" t="s">
        <v>35</v>
      </c>
      <c r="BP27">
        <v>1</v>
      </c>
      <c r="BQ27">
        <v>30</v>
      </c>
      <c r="BR27">
        <v>0</v>
      </c>
      <c r="BS27">
        <v>12.7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91</v>
      </c>
      <c r="CA27">
        <v>45</v>
      </c>
      <c r="CF27">
        <v>0</v>
      </c>
      <c r="CG27">
        <v>0</v>
      </c>
      <c r="CM27">
        <v>0</v>
      </c>
      <c r="CO27">
        <v>0</v>
      </c>
      <c r="CP27">
        <f t="shared" si="15"/>
        <v>211.71</v>
      </c>
      <c r="CQ27">
        <f t="shared" si="16"/>
        <v>1387.1596</v>
      </c>
      <c r="CR27">
        <f t="shared" si="17"/>
        <v>0</v>
      </c>
      <c r="CS27">
        <f t="shared" si="18"/>
        <v>0</v>
      </c>
      <c r="CT27">
        <f t="shared" si="19"/>
        <v>2763.9341787499993</v>
      </c>
      <c r="CU27">
        <f t="shared" si="20"/>
        <v>0</v>
      </c>
      <c r="CV27">
        <f t="shared" si="21"/>
        <v>18.506374999999995</v>
      </c>
      <c r="CW27">
        <f t="shared" si="22"/>
        <v>0</v>
      </c>
      <c r="CX27">
        <f t="shared" si="23"/>
        <v>0</v>
      </c>
      <c r="CY27">
        <f t="shared" si="24"/>
        <v>128.27360000000002</v>
      </c>
      <c r="CZ27">
        <f t="shared" si="25"/>
        <v>63.432</v>
      </c>
      <c r="DE27" t="s">
        <v>38</v>
      </c>
      <c r="DF27" t="s">
        <v>38</v>
      </c>
      <c r="DG27" t="s">
        <v>39</v>
      </c>
      <c r="DI27" t="s">
        <v>39</v>
      </c>
      <c r="DJ27" t="s">
        <v>38</v>
      </c>
      <c r="DN27">
        <v>100</v>
      </c>
      <c r="DO27">
        <v>64</v>
      </c>
      <c r="DP27">
        <v>1.025</v>
      </c>
      <c r="DQ27">
        <v>1</v>
      </c>
      <c r="DR27">
        <v>1</v>
      </c>
      <c r="DS27">
        <v>1</v>
      </c>
      <c r="DT27">
        <v>1</v>
      </c>
      <c r="DU27">
        <v>1005</v>
      </c>
      <c r="DV27" t="s">
        <v>25</v>
      </c>
      <c r="DW27" t="s">
        <v>25</v>
      </c>
      <c r="DX27">
        <v>100</v>
      </c>
      <c r="EE27">
        <v>15061698</v>
      </c>
      <c r="EF27">
        <v>30</v>
      </c>
      <c r="EG27" t="s">
        <v>40</v>
      </c>
      <c r="EH27">
        <v>0</v>
      </c>
      <c r="EJ27">
        <v>1</v>
      </c>
      <c r="EK27">
        <v>117</v>
      </c>
      <c r="EL27" t="s">
        <v>41</v>
      </c>
      <c r="EM27" t="s">
        <v>42</v>
      </c>
      <c r="EQ27">
        <v>64</v>
      </c>
      <c r="ER27">
        <v>1121.9</v>
      </c>
      <c r="ES27">
        <v>937.27</v>
      </c>
      <c r="ET27">
        <v>0</v>
      </c>
      <c r="EU27">
        <v>0</v>
      </c>
      <c r="EV27">
        <v>184.63</v>
      </c>
      <c r="EW27">
        <v>15.7</v>
      </c>
      <c r="EX27">
        <v>0</v>
      </c>
      <c r="EY27">
        <v>0</v>
      </c>
      <c r="EZ27">
        <v>0</v>
      </c>
      <c r="FQ27">
        <v>0</v>
      </c>
      <c r="FR27">
        <f t="shared" si="26"/>
        <v>0</v>
      </c>
      <c r="FS27">
        <v>0</v>
      </c>
      <c r="FX27">
        <v>91</v>
      </c>
      <c r="FY27">
        <v>45</v>
      </c>
    </row>
    <row r="28" spans="1:181" ht="12.75">
      <c r="A28">
        <v>18</v>
      </c>
      <c r="B28">
        <v>1</v>
      </c>
      <c r="C28">
        <v>7</v>
      </c>
      <c r="E28" t="s">
        <v>43</v>
      </c>
      <c r="F28" t="s">
        <v>44</v>
      </c>
      <c r="G28" t="s">
        <v>45</v>
      </c>
      <c r="H28" t="s">
        <v>17</v>
      </c>
      <c r="I28">
        <f>I27*J28</f>
        <v>5.3549999999999995</v>
      </c>
      <c r="J28">
        <v>105</v>
      </c>
      <c r="O28">
        <f t="shared" si="2"/>
        <v>50.43</v>
      </c>
      <c r="P28">
        <f t="shared" si="3"/>
        <v>50.43</v>
      </c>
      <c r="Q28">
        <f t="shared" si="4"/>
        <v>0</v>
      </c>
      <c r="R28">
        <f t="shared" si="5"/>
        <v>0</v>
      </c>
      <c r="S28">
        <f t="shared" si="6"/>
        <v>0</v>
      </c>
      <c r="T28">
        <f t="shared" si="7"/>
        <v>0</v>
      </c>
      <c r="U28">
        <f t="shared" si="8"/>
        <v>0</v>
      </c>
      <c r="V28">
        <f t="shared" si="9"/>
        <v>0</v>
      </c>
      <c r="W28">
        <f t="shared" si="10"/>
        <v>0</v>
      </c>
      <c r="X28">
        <f t="shared" si="11"/>
        <v>0</v>
      </c>
      <c r="Y28">
        <f t="shared" si="12"/>
        <v>0</v>
      </c>
      <c r="AA28">
        <v>0</v>
      </c>
      <c r="AB28">
        <f t="shared" si="13"/>
        <v>6.32</v>
      </c>
      <c r="AC28">
        <f aca="true" t="shared" si="28" ref="AC28:AJ28">AL28</f>
        <v>6.32</v>
      </c>
      <c r="AD28">
        <f t="shared" si="28"/>
        <v>0</v>
      </c>
      <c r="AE28">
        <f t="shared" si="28"/>
        <v>0</v>
      </c>
      <c r="AF28">
        <f t="shared" si="28"/>
        <v>0</v>
      </c>
      <c r="AG28">
        <f t="shared" si="28"/>
        <v>0</v>
      </c>
      <c r="AH28">
        <f t="shared" si="28"/>
        <v>0</v>
      </c>
      <c r="AI28">
        <f t="shared" si="28"/>
        <v>0</v>
      </c>
      <c r="AJ28">
        <f t="shared" si="28"/>
        <v>0</v>
      </c>
      <c r="AK28">
        <v>6.32</v>
      </c>
      <c r="AL28">
        <v>6.32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1.49</v>
      </c>
      <c r="BH28">
        <v>3</v>
      </c>
      <c r="BI28">
        <v>1</v>
      </c>
      <c r="BJ28" t="s">
        <v>46</v>
      </c>
      <c r="BM28">
        <v>117</v>
      </c>
      <c r="BN28">
        <v>0</v>
      </c>
      <c r="BO28" t="s">
        <v>44</v>
      </c>
      <c r="BP28">
        <v>1</v>
      </c>
      <c r="BQ28">
        <v>30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0</v>
      </c>
      <c r="CA28">
        <v>0</v>
      </c>
      <c r="CF28">
        <v>0</v>
      </c>
      <c r="CG28">
        <v>0</v>
      </c>
      <c r="CM28">
        <v>0</v>
      </c>
      <c r="CO28">
        <v>0</v>
      </c>
      <c r="CP28">
        <f t="shared" si="15"/>
        <v>50.43</v>
      </c>
      <c r="CQ28">
        <f t="shared" si="16"/>
        <v>9.4168</v>
      </c>
      <c r="CR28">
        <f t="shared" si="17"/>
        <v>0</v>
      </c>
      <c r="CS28">
        <f t="shared" si="18"/>
        <v>0</v>
      </c>
      <c r="CT28">
        <f t="shared" si="19"/>
        <v>0</v>
      </c>
      <c r="CU28">
        <f t="shared" si="20"/>
        <v>0</v>
      </c>
      <c r="CV28">
        <f t="shared" si="21"/>
        <v>0</v>
      </c>
      <c r="CW28">
        <f t="shared" si="22"/>
        <v>0</v>
      </c>
      <c r="CX28">
        <f t="shared" si="23"/>
        <v>0</v>
      </c>
      <c r="CY28">
        <f t="shared" si="24"/>
        <v>0</v>
      </c>
      <c r="CZ28">
        <f t="shared" si="25"/>
        <v>0</v>
      </c>
      <c r="DN28">
        <v>100</v>
      </c>
      <c r="DO28">
        <v>64</v>
      </c>
      <c r="DP28">
        <v>1.025</v>
      </c>
      <c r="DQ28">
        <v>1</v>
      </c>
      <c r="DR28">
        <v>1</v>
      </c>
      <c r="DS28">
        <v>1</v>
      </c>
      <c r="DT28">
        <v>1</v>
      </c>
      <c r="DU28">
        <v>1005</v>
      </c>
      <c r="DV28" t="s">
        <v>17</v>
      </c>
      <c r="DW28" t="s">
        <v>17</v>
      </c>
      <c r="DX28">
        <v>1</v>
      </c>
      <c r="EE28">
        <v>15061698</v>
      </c>
      <c r="EF28">
        <v>30</v>
      </c>
      <c r="EG28" t="s">
        <v>40</v>
      </c>
      <c r="EH28">
        <v>0</v>
      </c>
      <c r="EJ28">
        <v>1</v>
      </c>
      <c r="EK28">
        <v>117</v>
      </c>
      <c r="EL28" t="s">
        <v>41</v>
      </c>
      <c r="EM28" t="s">
        <v>42</v>
      </c>
      <c r="EQ28">
        <v>0</v>
      </c>
      <c r="ER28">
        <v>6.32</v>
      </c>
      <c r="ES28">
        <v>6.32</v>
      </c>
      <c r="ET28">
        <v>0</v>
      </c>
      <c r="EU28">
        <v>0</v>
      </c>
      <c r="EV28">
        <v>0</v>
      </c>
      <c r="EW28">
        <v>0</v>
      </c>
      <c r="EX28">
        <v>0</v>
      </c>
      <c r="EZ28">
        <v>0</v>
      </c>
      <c r="FQ28">
        <v>0</v>
      </c>
      <c r="FR28">
        <f t="shared" si="26"/>
        <v>0</v>
      </c>
      <c r="FS28">
        <v>0</v>
      </c>
      <c r="FX28">
        <v>0</v>
      </c>
      <c r="FY28">
        <v>0</v>
      </c>
    </row>
    <row r="29" spans="1:181" ht="12.75">
      <c r="A29">
        <v>17</v>
      </c>
      <c r="B29">
        <v>1</v>
      </c>
      <c r="C29">
        <f>ROW(SmtRes!A13)</f>
        <v>13</v>
      </c>
      <c r="D29">
        <f>ROW(EtalonRes!A13)</f>
        <v>13</v>
      </c>
      <c r="E29" t="s">
        <v>47</v>
      </c>
      <c r="F29" t="s">
        <v>48</v>
      </c>
      <c r="G29" t="s">
        <v>49</v>
      </c>
      <c r="H29" t="s">
        <v>25</v>
      </c>
      <c r="I29">
        <v>1</v>
      </c>
      <c r="J29">
        <v>0</v>
      </c>
      <c r="O29">
        <f t="shared" si="2"/>
        <v>7172.63</v>
      </c>
      <c r="P29">
        <f t="shared" si="3"/>
        <v>27.77</v>
      </c>
      <c r="Q29">
        <f t="shared" si="4"/>
        <v>278.96</v>
      </c>
      <c r="R29">
        <f t="shared" si="5"/>
        <v>111.63</v>
      </c>
      <c r="S29">
        <f t="shared" si="6"/>
        <v>6865.9</v>
      </c>
      <c r="T29">
        <f t="shared" si="7"/>
        <v>0</v>
      </c>
      <c r="U29">
        <f t="shared" si="8"/>
        <v>45.97124999999999</v>
      </c>
      <c r="V29">
        <f t="shared" si="9"/>
        <v>0</v>
      </c>
      <c r="W29">
        <f t="shared" si="10"/>
        <v>0</v>
      </c>
      <c r="X29">
        <f t="shared" si="11"/>
        <v>6247.97</v>
      </c>
      <c r="Y29">
        <f t="shared" si="12"/>
        <v>3089.66</v>
      </c>
      <c r="AA29">
        <v>0</v>
      </c>
      <c r="AB29">
        <f t="shared" si="13"/>
        <v>569.8135</v>
      </c>
      <c r="AC29">
        <f>(ES29)</f>
        <v>6.09</v>
      </c>
      <c r="AD29">
        <f>((ET29*1.25))</f>
        <v>36.2875</v>
      </c>
      <c r="AE29">
        <f>((EU29*1.25))</f>
        <v>8.575000000000001</v>
      </c>
      <c r="AF29">
        <f>((EV29*1.15))</f>
        <v>527.4359999999999</v>
      </c>
      <c r="AG29">
        <f>(AP29)</f>
        <v>0</v>
      </c>
      <c r="AH29">
        <f>((EW29*1.15))</f>
        <v>44.849999999999994</v>
      </c>
      <c r="AI29">
        <f>((EX29*1.25))</f>
        <v>0</v>
      </c>
      <c r="AJ29">
        <f>(AS29)</f>
        <v>0</v>
      </c>
      <c r="AK29">
        <v>493.76</v>
      </c>
      <c r="AL29">
        <v>6.09</v>
      </c>
      <c r="AM29">
        <v>29.03</v>
      </c>
      <c r="AN29">
        <v>6.86</v>
      </c>
      <c r="AO29">
        <v>458.64</v>
      </c>
      <c r="AP29">
        <v>0</v>
      </c>
      <c r="AQ29">
        <v>39</v>
      </c>
      <c r="AR29">
        <v>0</v>
      </c>
      <c r="AS29">
        <v>0</v>
      </c>
      <c r="AT29">
        <v>91</v>
      </c>
      <c r="AU29">
        <v>45</v>
      </c>
      <c r="AV29">
        <v>1.025</v>
      </c>
      <c r="AW29">
        <v>1</v>
      </c>
      <c r="AX29">
        <v>1</v>
      </c>
      <c r="AY29">
        <v>1</v>
      </c>
      <c r="AZ29">
        <v>12.7</v>
      </c>
      <c r="BA29">
        <v>12.7</v>
      </c>
      <c r="BB29">
        <v>7.5</v>
      </c>
      <c r="BC29">
        <v>4.56</v>
      </c>
      <c r="BH29">
        <v>0</v>
      </c>
      <c r="BI29">
        <v>1</v>
      </c>
      <c r="BJ29" t="s">
        <v>50</v>
      </c>
      <c r="BM29">
        <v>117</v>
      </c>
      <c r="BN29">
        <v>0</v>
      </c>
      <c r="BO29" t="s">
        <v>48</v>
      </c>
      <c r="BP29">
        <v>1</v>
      </c>
      <c r="BQ29">
        <v>30</v>
      </c>
      <c r="BR29">
        <v>0</v>
      </c>
      <c r="BS29">
        <v>12.7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91</v>
      </c>
      <c r="CA29">
        <v>45</v>
      </c>
      <c r="CF29">
        <v>0</v>
      </c>
      <c r="CG29">
        <v>0</v>
      </c>
      <c r="CM29">
        <v>0</v>
      </c>
      <c r="CO29">
        <v>0</v>
      </c>
      <c r="CP29">
        <f t="shared" si="15"/>
        <v>7172.629999999999</v>
      </c>
      <c r="CQ29">
        <f t="shared" si="16"/>
        <v>27.7704</v>
      </c>
      <c r="CR29">
        <f t="shared" si="17"/>
        <v>278.96015625</v>
      </c>
      <c r="CS29">
        <f t="shared" si="18"/>
        <v>111.62506249999998</v>
      </c>
      <c r="CT29">
        <f t="shared" si="19"/>
        <v>6865.898129999998</v>
      </c>
      <c r="CU29">
        <f t="shared" si="20"/>
        <v>0</v>
      </c>
      <c r="CV29">
        <f t="shared" si="21"/>
        <v>45.97124999999999</v>
      </c>
      <c r="CW29">
        <f t="shared" si="22"/>
        <v>0</v>
      </c>
      <c r="CX29">
        <f t="shared" si="23"/>
        <v>0</v>
      </c>
      <c r="CY29">
        <f t="shared" si="24"/>
        <v>6247.969</v>
      </c>
      <c r="CZ29">
        <f t="shared" si="25"/>
        <v>3089.6549999999997</v>
      </c>
      <c r="DE29" t="s">
        <v>38</v>
      </c>
      <c r="DF29" t="s">
        <v>38</v>
      </c>
      <c r="DG29" t="s">
        <v>39</v>
      </c>
      <c r="DI29" t="s">
        <v>39</v>
      </c>
      <c r="DJ29" t="s">
        <v>38</v>
      </c>
      <c r="DN29">
        <v>100</v>
      </c>
      <c r="DO29">
        <v>64</v>
      </c>
      <c r="DP29">
        <v>1.025</v>
      </c>
      <c r="DQ29">
        <v>1</v>
      </c>
      <c r="DR29">
        <v>1</v>
      </c>
      <c r="DS29">
        <v>1</v>
      </c>
      <c r="DT29">
        <v>1</v>
      </c>
      <c r="DU29">
        <v>1005</v>
      </c>
      <c r="DV29" t="s">
        <v>25</v>
      </c>
      <c r="DW29" t="s">
        <v>25</v>
      </c>
      <c r="DX29">
        <v>100</v>
      </c>
      <c r="EE29">
        <v>15061698</v>
      </c>
      <c r="EF29">
        <v>30</v>
      </c>
      <c r="EG29" t="s">
        <v>40</v>
      </c>
      <c r="EH29">
        <v>0</v>
      </c>
      <c r="EJ29">
        <v>1</v>
      </c>
      <c r="EK29">
        <v>117</v>
      </c>
      <c r="EL29" t="s">
        <v>41</v>
      </c>
      <c r="EM29" t="s">
        <v>42</v>
      </c>
      <c r="EQ29">
        <v>64</v>
      </c>
      <c r="ER29">
        <v>493.76</v>
      </c>
      <c r="ES29">
        <v>6.09</v>
      </c>
      <c r="ET29">
        <v>29.03</v>
      </c>
      <c r="EU29">
        <v>6.86</v>
      </c>
      <c r="EV29">
        <v>458.64</v>
      </c>
      <c r="EW29">
        <v>39</v>
      </c>
      <c r="EX29">
        <v>0</v>
      </c>
      <c r="EY29">
        <v>0</v>
      </c>
      <c r="EZ29">
        <v>0</v>
      </c>
      <c r="FQ29">
        <v>0</v>
      </c>
      <c r="FR29">
        <f t="shared" si="26"/>
        <v>0</v>
      </c>
      <c r="FS29">
        <v>0</v>
      </c>
      <c r="FX29">
        <v>91</v>
      </c>
      <c r="FY29">
        <v>45</v>
      </c>
    </row>
    <row r="30" spans="1:181" ht="12.75">
      <c r="A30">
        <v>18</v>
      </c>
      <c r="B30">
        <v>1</v>
      </c>
      <c r="C30">
        <v>11</v>
      </c>
      <c r="E30" t="s">
        <v>51</v>
      </c>
      <c r="F30" t="s">
        <v>52</v>
      </c>
      <c r="G30" t="s">
        <v>53</v>
      </c>
      <c r="H30" t="s">
        <v>54</v>
      </c>
      <c r="I30">
        <f>I29*J30</f>
        <v>0.051</v>
      </c>
      <c r="J30">
        <v>0.051</v>
      </c>
      <c r="O30">
        <f t="shared" si="2"/>
        <v>1840.9</v>
      </c>
      <c r="P30">
        <f t="shared" si="3"/>
        <v>1840.9</v>
      </c>
      <c r="Q30">
        <f t="shared" si="4"/>
        <v>0</v>
      </c>
      <c r="R30">
        <f t="shared" si="5"/>
        <v>0</v>
      </c>
      <c r="S30">
        <f t="shared" si="6"/>
        <v>0</v>
      </c>
      <c r="T30">
        <f t="shared" si="7"/>
        <v>0</v>
      </c>
      <c r="U30">
        <f t="shared" si="8"/>
        <v>0</v>
      </c>
      <c r="V30">
        <f t="shared" si="9"/>
        <v>0</v>
      </c>
      <c r="W30">
        <f t="shared" si="10"/>
        <v>0</v>
      </c>
      <c r="X30">
        <f t="shared" si="11"/>
        <v>0</v>
      </c>
      <c r="Y30">
        <f t="shared" si="12"/>
        <v>0</v>
      </c>
      <c r="AA30">
        <v>0</v>
      </c>
      <c r="AB30">
        <f t="shared" si="13"/>
        <v>11569.28</v>
      </c>
      <c r="AC30">
        <f aca="true" t="shared" si="29" ref="AC30:AJ32">AL30</f>
        <v>11569.28</v>
      </c>
      <c r="AD30">
        <f t="shared" si="29"/>
        <v>0</v>
      </c>
      <c r="AE30">
        <f t="shared" si="29"/>
        <v>0</v>
      </c>
      <c r="AF30">
        <f t="shared" si="29"/>
        <v>0</v>
      </c>
      <c r="AG30">
        <f t="shared" si="29"/>
        <v>0</v>
      </c>
      <c r="AH30">
        <f t="shared" si="29"/>
        <v>0</v>
      </c>
      <c r="AI30">
        <f t="shared" si="29"/>
        <v>0</v>
      </c>
      <c r="AJ30">
        <f t="shared" si="29"/>
        <v>0</v>
      </c>
      <c r="AK30">
        <v>11569.28</v>
      </c>
      <c r="AL30">
        <v>11569.28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3.12</v>
      </c>
      <c r="BH30">
        <v>3</v>
      </c>
      <c r="BI30">
        <v>1</v>
      </c>
      <c r="BJ30" t="s">
        <v>55</v>
      </c>
      <c r="BM30">
        <v>117</v>
      </c>
      <c r="BN30">
        <v>0</v>
      </c>
      <c r="BO30" t="s">
        <v>52</v>
      </c>
      <c r="BP30">
        <v>1</v>
      </c>
      <c r="BQ30">
        <v>30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0</v>
      </c>
      <c r="CA30">
        <v>0</v>
      </c>
      <c r="CF30">
        <v>0</v>
      </c>
      <c r="CG30">
        <v>0</v>
      </c>
      <c r="CM30">
        <v>0</v>
      </c>
      <c r="CO30">
        <v>0</v>
      </c>
      <c r="CP30">
        <f t="shared" si="15"/>
        <v>1840.9</v>
      </c>
      <c r="CQ30">
        <f t="shared" si="16"/>
        <v>36096.153600000005</v>
      </c>
      <c r="CR30">
        <f t="shared" si="17"/>
        <v>0</v>
      </c>
      <c r="CS30">
        <f t="shared" si="18"/>
        <v>0</v>
      </c>
      <c r="CT30">
        <f t="shared" si="19"/>
        <v>0</v>
      </c>
      <c r="CU30">
        <f t="shared" si="20"/>
        <v>0</v>
      </c>
      <c r="CV30">
        <f t="shared" si="21"/>
        <v>0</v>
      </c>
      <c r="CW30">
        <f t="shared" si="22"/>
        <v>0</v>
      </c>
      <c r="CX30">
        <f t="shared" si="23"/>
        <v>0</v>
      </c>
      <c r="CY30">
        <f t="shared" si="24"/>
        <v>0</v>
      </c>
      <c r="CZ30">
        <f t="shared" si="25"/>
        <v>0</v>
      </c>
      <c r="DN30">
        <v>100</v>
      </c>
      <c r="DO30">
        <v>64</v>
      </c>
      <c r="DP30">
        <v>1.025</v>
      </c>
      <c r="DQ30">
        <v>1</v>
      </c>
      <c r="DR30">
        <v>1</v>
      </c>
      <c r="DS30">
        <v>1</v>
      </c>
      <c r="DT30">
        <v>1</v>
      </c>
      <c r="DU30">
        <v>1009</v>
      </c>
      <c r="DV30" t="s">
        <v>54</v>
      </c>
      <c r="DW30" t="s">
        <v>54</v>
      </c>
      <c r="DX30">
        <v>1000</v>
      </c>
      <c r="EE30">
        <v>15061698</v>
      </c>
      <c r="EF30">
        <v>30</v>
      </c>
      <c r="EG30" t="s">
        <v>40</v>
      </c>
      <c r="EH30">
        <v>0</v>
      </c>
      <c r="EJ30">
        <v>1</v>
      </c>
      <c r="EK30">
        <v>117</v>
      </c>
      <c r="EL30" t="s">
        <v>41</v>
      </c>
      <c r="EM30" t="s">
        <v>42</v>
      </c>
      <c r="EQ30">
        <v>0</v>
      </c>
      <c r="ER30">
        <v>11569.28</v>
      </c>
      <c r="ES30">
        <v>11569.28</v>
      </c>
      <c r="ET30">
        <v>0</v>
      </c>
      <c r="EU30">
        <v>0</v>
      </c>
      <c r="EV30">
        <v>0</v>
      </c>
      <c r="EW30">
        <v>0</v>
      </c>
      <c r="EX30">
        <v>0</v>
      </c>
      <c r="EZ30">
        <v>0</v>
      </c>
      <c r="FQ30">
        <v>0</v>
      </c>
      <c r="FR30">
        <f t="shared" si="26"/>
        <v>0</v>
      </c>
      <c r="FS30">
        <v>0</v>
      </c>
      <c r="FX30">
        <v>0</v>
      </c>
      <c r="FY30">
        <v>0</v>
      </c>
    </row>
    <row r="31" spans="1:181" ht="12.75">
      <c r="A31">
        <v>18</v>
      </c>
      <c r="B31">
        <v>1</v>
      </c>
      <c r="C31">
        <v>13</v>
      </c>
      <c r="E31" t="s">
        <v>56</v>
      </c>
      <c r="F31" t="s">
        <v>57</v>
      </c>
      <c r="G31" t="s">
        <v>58</v>
      </c>
      <c r="H31" t="s">
        <v>59</v>
      </c>
      <c r="I31">
        <v>0.672316</v>
      </c>
      <c r="J31">
        <v>0.6762</v>
      </c>
      <c r="O31">
        <f t="shared" si="2"/>
        <v>51.05</v>
      </c>
      <c r="P31">
        <f t="shared" si="3"/>
        <v>51.05</v>
      </c>
      <c r="Q31">
        <f t="shared" si="4"/>
        <v>0</v>
      </c>
      <c r="R31">
        <f t="shared" si="5"/>
        <v>0</v>
      </c>
      <c r="S31">
        <f t="shared" si="6"/>
        <v>0</v>
      </c>
      <c r="T31">
        <f t="shared" si="7"/>
        <v>0</v>
      </c>
      <c r="U31">
        <f t="shared" si="8"/>
        <v>0</v>
      </c>
      <c r="V31">
        <f t="shared" si="9"/>
        <v>0</v>
      </c>
      <c r="W31">
        <f t="shared" si="10"/>
        <v>0</v>
      </c>
      <c r="X31">
        <f t="shared" si="11"/>
        <v>0</v>
      </c>
      <c r="Y31">
        <f t="shared" si="12"/>
        <v>0</v>
      </c>
      <c r="AA31">
        <v>0</v>
      </c>
      <c r="AB31">
        <f t="shared" si="13"/>
        <v>34.0468</v>
      </c>
      <c r="AC31">
        <f t="shared" si="29"/>
        <v>34.0468</v>
      </c>
      <c r="AD31">
        <f t="shared" si="29"/>
        <v>0</v>
      </c>
      <c r="AE31">
        <f t="shared" si="29"/>
        <v>0</v>
      </c>
      <c r="AF31">
        <f t="shared" si="29"/>
        <v>0</v>
      </c>
      <c r="AG31">
        <f t="shared" si="29"/>
        <v>0</v>
      </c>
      <c r="AH31">
        <f t="shared" si="29"/>
        <v>0</v>
      </c>
      <c r="AI31">
        <f t="shared" si="29"/>
        <v>0</v>
      </c>
      <c r="AJ31">
        <f t="shared" si="29"/>
        <v>0</v>
      </c>
      <c r="AK31">
        <v>34.0468</v>
      </c>
      <c r="AL31">
        <v>34.0468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2.23</v>
      </c>
      <c r="BH31">
        <v>3</v>
      </c>
      <c r="BI31">
        <v>1</v>
      </c>
      <c r="BM31">
        <v>117</v>
      </c>
      <c r="BN31">
        <v>0</v>
      </c>
      <c r="BO31" t="s">
        <v>57</v>
      </c>
      <c r="BP31">
        <v>1</v>
      </c>
      <c r="BQ31">
        <v>30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0</v>
      </c>
      <c r="CA31">
        <v>0</v>
      </c>
      <c r="CF31">
        <v>0</v>
      </c>
      <c r="CG31">
        <v>0</v>
      </c>
      <c r="CM31">
        <v>0</v>
      </c>
      <c r="CO31">
        <v>0</v>
      </c>
      <c r="CP31">
        <f t="shared" si="15"/>
        <v>51.05</v>
      </c>
      <c r="CQ31">
        <f t="shared" si="16"/>
        <v>75.924364</v>
      </c>
      <c r="CR31">
        <f t="shared" si="17"/>
        <v>0</v>
      </c>
      <c r="CS31">
        <f t="shared" si="18"/>
        <v>0</v>
      </c>
      <c r="CT31">
        <f t="shared" si="19"/>
        <v>0</v>
      </c>
      <c r="CU31">
        <f t="shared" si="20"/>
        <v>0</v>
      </c>
      <c r="CV31">
        <f t="shared" si="21"/>
        <v>0</v>
      </c>
      <c r="CW31">
        <f t="shared" si="22"/>
        <v>0</v>
      </c>
      <c r="CX31">
        <f t="shared" si="23"/>
        <v>0</v>
      </c>
      <c r="CY31">
        <f t="shared" si="24"/>
        <v>0</v>
      </c>
      <c r="CZ31">
        <f t="shared" si="25"/>
        <v>0</v>
      </c>
      <c r="DN31">
        <v>100</v>
      </c>
      <c r="DO31">
        <v>64</v>
      </c>
      <c r="DP31">
        <v>1.025</v>
      </c>
      <c r="DQ31">
        <v>1</v>
      </c>
      <c r="DR31">
        <v>1</v>
      </c>
      <c r="DS31">
        <v>1</v>
      </c>
      <c r="DT31">
        <v>1</v>
      </c>
      <c r="DU31">
        <v>1009</v>
      </c>
      <c r="DV31" t="s">
        <v>59</v>
      </c>
      <c r="DW31" t="s">
        <v>59</v>
      </c>
      <c r="DX31">
        <v>1</v>
      </c>
      <c r="EE31">
        <v>15061698</v>
      </c>
      <c r="EF31">
        <v>30</v>
      </c>
      <c r="EG31" t="s">
        <v>40</v>
      </c>
      <c r="EH31">
        <v>0</v>
      </c>
      <c r="EJ31">
        <v>1</v>
      </c>
      <c r="EK31">
        <v>117</v>
      </c>
      <c r="EL31" t="s">
        <v>41</v>
      </c>
      <c r="EM31" t="s">
        <v>42</v>
      </c>
      <c r="EQ31">
        <v>0</v>
      </c>
      <c r="ER31">
        <v>34.0468</v>
      </c>
      <c r="ES31">
        <v>34.0468</v>
      </c>
      <c r="ET31">
        <v>0</v>
      </c>
      <c r="EU31">
        <v>0</v>
      </c>
      <c r="EV31">
        <v>0</v>
      </c>
      <c r="EW31">
        <v>0</v>
      </c>
      <c r="EX31">
        <v>0</v>
      </c>
      <c r="EZ31">
        <v>0</v>
      </c>
      <c r="FQ31">
        <v>0</v>
      </c>
      <c r="FR31">
        <f t="shared" si="26"/>
        <v>0</v>
      </c>
      <c r="FS31">
        <v>0</v>
      </c>
      <c r="FX31">
        <v>0</v>
      </c>
      <c r="FY31">
        <v>0</v>
      </c>
    </row>
    <row r="32" spans="1:181" ht="12.75">
      <c r="A32">
        <v>18</v>
      </c>
      <c r="B32">
        <v>1</v>
      </c>
      <c r="C32">
        <v>12</v>
      </c>
      <c r="E32" t="s">
        <v>60</v>
      </c>
      <c r="F32" t="s">
        <v>61</v>
      </c>
      <c r="G32" t="s">
        <v>62</v>
      </c>
      <c r="H32" t="s">
        <v>54</v>
      </c>
      <c r="I32">
        <f>I29*J32</f>
        <v>0.063</v>
      </c>
      <c r="J32">
        <v>0.063</v>
      </c>
      <c r="O32">
        <f t="shared" si="2"/>
        <v>11139.02</v>
      </c>
      <c r="P32">
        <f t="shared" si="3"/>
        <v>11139.02</v>
      </c>
      <c r="Q32">
        <f t="shared" si="4"/>
        <v>0</v>
      </c>
      <c r="R32">
        <f t="shared" si="5"/>
        <v>0</v>
      </c>
      <c r="S32">
        <f t="shared" si="6"/>
        <v>0</v>
      </c>
      <c r="T32">
        <f t="shared" si="7"/>
        <v>0</v>
      </c>
      <c r="U32">
        <f t="shared" si="8"/>
        <v>0</v>
      </c>
      <c r="V32">
        <f t="shared" si="9"/>
        <v>0</v>
      </c>
      <c r="W32">
        <f t="shared" si="10"/>
        <v>0</v>
      </c>
      <c r="X32">
        <f t="shared" si="11"/>
        <v>0</v>
      </c>
      <c r="Y32">
        <f t="shared" si="12"/>
        <v>0</v>
      </c>
      <c r="AA32">
        <v>0</v>
      </c>
      <c r="AB32">
        <f t="shared" si="13"/>
        <v>36010.14</v>
      </c>
      <c r="AC32">
        <f t="shared" si="29"/>
        <v>36010.14</v>
      </c>
      <c r="AD32">
        <f t="shared" si="29"/>
        <v>0</v>
      </c>
      <c r="AE32">
        <f t="shared" si="29"/>
        <v>0</v>
      </c>
      <c r="AF32">
        <f t="shared" si="29"/>
        <v>0</v>
      </c>
      <c r="AG32">
        <f t="shared" si="29"/>
        <v>0</v>
      </c>
      <c r="AH32">
        <f t="shared" si="29"/>
        <v>0</v>
      </c>
      <c r="AI32">
        <f t="shared" si="29"/>
        <v>0</v>
      </c>
      <c r="AJ32">
        <f t="shared" si="29"/>
        <v>0</v>
      </c>
      <c r="AK32">
        <v>36010.14</v>
      </c>
      <c r="AL32">
        <v>36010.14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4.91</v>
      </c>
      <c r="BH32">
        <v>3</v>
      </c>
      <c r="BI32">
        <v>1</v>
      </c>
      <c r="BJ32" t="s">
        <v>63</v>
      </c>
      <c r="BM32">
        <v>117</v>
      </c>
      <c r="BN32">
        <v>0</v>
      </c>
      <c r="BO32" t="s">
        <v>61</v>
      </c>
      <c r="BP32">
        <v>1</v>
      </c>
      <c r="BQ32">
        <v>30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0</v>
      </c>
      <c r="CA32">
        <v>0</v>
      </c>
      <c r="CF32">
        <v>0</v>
      </c>
      <c r="CG32">
        <v>0</v>
      </c>
      <c r="CM32">
        <v>0</v>
      </c>
      <c r="CO32">
        <v>0</v>
      </c>
      <c r="CP32">
        <f t="shared" si="15"/>
        <v>11139.02</v>
      </c>
      <c r="CQ32">
        <f t="shared" si="16"/>
        <v>176809.7874</v>
      </c>
      <c r="CR32">
        <f t="shared" si="17"/>
        <v>0</v>
      </c>
      <c r="CS32">
        <f t="shared" si="18"/>
        <v>0</v>
      </c>
      <c r="CT32">
        <f t="shared" si="19"/>
        <v>0</v>
      </c>
      <c r="CU32">
        <f t="shared" si="20"/>
        <v>0</v>
      </c>
      <c r="CV32">
        <f t="shared" si="21"/>
        <v>0</v>
      </c>
      <c r="CW32">
        <f t="shared" si="22"/>
        <v>0</v>
      </c>
      <c r="CX32">
        <f t="shared" si="23"/>
        <v>0</v>
      </c>
      <c r="CY32">
        <f t="shared" si="24"/>
        <v>0</v>
      </c>
      <c r="CZ32">
        <f t="shared" si="25"/>
        <v>0</v>
      </c>
      <c r="DN32">
        <v>100</v>
      </c>
      <c r="DO32">
        <v>64</v>
      </c>
      <c r="DP32">
        <v>1.025</v>
      </c>
      <c r="DQ32">
        <v>1</v>
      </c>
      <c r="DR32">
        <v>1</v>
      </c>
      <c r="DS32">
        <v>1</v>
      </c>
      <c r="DT32">
        <v>1</v>
      </c>
      <c r="DU32">
        <v>1009</v>
      </c>
      <c r="DV32" t="s">
        <v>54</v>
      </c>
      <c r="DW32" t="s">
        <v>54</v>
      </c>
      <c r="DX32">
        <v>1000</v>
      </c>
      <c r="EE32">
        <v>15061698</v>
      </c>
      <c r="EF32">
        <v>30</v>
      </c>
      <c r="EG32" t="s">
        <v>40</v>
      </c>
      <c r="EH32">
        <v>0</v>
      </c>
      <c r="EJ32">
        <v>1</v>
      </c>
      <c r="EK32">
        <v>117</v>
      </c>
      <c r="EL32" t="s">
        <v>41</v>
      </c>
      <c r="EM32" t="s">
        <v>42</v>
      </c>
      <c r="EQ32">
        <v>0</v>
      </c>
      <c r="ER32">
        <v>36010.14</v>
      </c>
      <c r="ES32">
        <v>36010.14</v>
      </c>
      <c r="ET32">
        <v>0</v>
      </c>
      <c r="EU32">
        <v>0</v>
      </c>
      <c r="EV32">
        <v>0</v>
      </c>
      <c r="EW32">
        <v>0</v>
      </c>
      <c r="EX32">
        <v>0</v>
      </c>
      <c r="EZ32">
        <v>0</v>
      </c>
      <c r="FQ32">
        <v>0</v>
      </c>
      <c r="FR32">
        <f t="shared" si="26"/>
        <v>0</v>
      </c>
      <c r="FS32">
        <v>0</v>
      </c>
      <c r="FX32">
        <v>0</v>
      </c>
      <c r="FY32">
        <v>0</v>
      </c>
    </row>
    <row r="33" spans="1:181" ht="12.75">
      <c r="A33">
        <v>17</v>
      </c>
      <c r="B33">
        <v>1</v>
      </c>
      <c r="C33">
        <f>ROW(SmtRes!A16)</f>
        <v>16</v>
      </c>
      <c r="D33">
        <f>ROW(EtalonRes!A16)</f>
        <v>16</v>
      </c>
      <c r="E33" t="s">
        <v>64</v>
      </c>
      <c r="F33" t="s">
        <v>65</v>
      </c>
      <c r="G33" t="s">
        <v>66</v>
      </c>
      <c r="H33" t="s">
        <v>25</v>
      </c>
      <c r="I33">
        <v>0.01</v>
      </c>
      <c r="J33">
        <v>0</v>
      </c>
      <c r="O33">
        <f t="shared" si="2"/>
        <v>133.54</v>
      </c>
      <c r="P33">
        <f t="shared" si="3"/>
        <v>0.36</v>
      </c>
      <c r="Q33">
        <f t="shared" si="4"/>
        <v>1.97</v>
      </c>
      <c r="R33">
        <f t="shared" si="5"/>
        <v>0.79</v>
      </c>
      <c r="S33">
        <f t="shared" si="6"/>
        <v>131.21</v>
      </c>
      <c r="T33">
        <f t="shared" si="7"/>
        <v>0</v>
      </c>
      <c r="U33">
        <f t="shared" si="8"/>
        <v>0.9126698999999998</v>
      </c>
      <c r="V33">
        <f t="shared" si="9"/>
        <v>0</v>
      </c>
      <c r="W33">
        <f t="shared" si="10"/>
        <v>0</v>
      </c>
      <c r="X33">
        <f t="shared" si="11"/>
        <v>108.9</v>
      </c>
      <c r="Y33">
        <f t="shared" si="12"/>
        <v>59.04</v>
      </c>
      <c r="AA33">
        <v>0</v>
      </c>
      <c r="AB33">
        <f t="shared" si="13"/>
        <v>1026.524</v>
      </c>
      <c r="AC33">
        <f>(ES33)</f>
        <v>14.63</v>
      </c>
      <c r="AD33">
        <f>((ET33*1.25))</f>
        <v>25.125</v>
      </c>
      <c r="AE33">
        <f>((EU33*1.25))</f>
        <v>5.9375</v>
      </c>
      <c r="AF33">
        <f>((EV33*1.15))</f>
        <v>986.7689999999999</v>
      </c>
      <c r="AG33">
        <f>(AP33)</f>
        <v>0</v>
      </c>
      <c r="AH33">
        <f>((EW33*1.15))</f>
        <v>87.16999999999999</v>
      </c>
      <c r="AI33">
        <f>((EX33*1.25))</f>
        <v>0</v>
      </c>
      <c r="AJ33">
        <f>(AS33)</f>
        <v>0</v>
      </c>
      <c r="AK33">
        <v>892.79</v>
      </c>
      <c r="AL33">
        <v>14.63</v>
      </c>
      <c r="AM33">
        <v>20.1</v>
      </c>
      <c r="AN33">
        <v>4.75</v>
      </c>
      <c r="AO33">
        <v>858.06</v>
      </c>
      <c r="AP33">
        <v>0</v>
      </c>
      <c r="AQ33">
        <v>75.8</v>
      </c>
      <c r="AR33">
        <v>0</v>
      </c>
      <c r="AS33">
        <v>0</v>
      </c>
      <c r="AT33">
        <v>83</v>
      </c>
      <c r="AU33">
        <v>45</v>
      </c>
      <c r="AV33">
        <v>1.047</v>
      </c>
      <c r="AW33">
        <v>1</v>
      </c>
      <c r="AX33">
        <v>1</v>
      </c>
      <c r="AY33">
        <v>1</v>
      </c>
      <c r="AZ33">
        <v>12.7</v>
      </c>
      <c r="BA33">
        <v>12.7</v>
      </c>
      <c r="BB33">
        <v>7.5</v>
      </c>
      <c r="BC33">
        <v>2.43</v>
      </c>
      <c r="BH33">
        <v>0</v>
      </c>
      <c r="BI33">
        <v>1</v>
      </c>
      <c r="BJ33" t="s">
        <v>67</v>
      </c>
      <c r="BM33">
        <v>69</v>
      </c>
      <c r="BN33">
        <v>0</v>
      </c>
      <c r="BO33" t="s">
        <v>65</v>
      </c>
      <c r="BP33">
        <v>1</v>
      </c>
      <c r="BQ33">
        <v>30</v>
      </c>
      <c r="BR33">
        <v>0</v>
      </c>
      <c r="BS33">
        <v>12.7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83</v>
      </c>
      <c r="CA33">
        <v>45</v>
      </c>
      <c r="CF33">
        <v>0</v>
      </c>
      <c r="CG33">
        <v>0</v>
      </c>
      <c r="CM33">
        <v>0</v>
      </c>
      <c r="CO33">
        <v>0</v>
      </c>
      <c r="CP33">
        <f t="shared" si="15"/>
        <v>133.54000000000002</v>
      </c>
      <c r="CQ33">
        <f t="shared" si="16"/>
        <v>35.550900000000006</v>
      </c>
      <c r="CR33">
        <f t="shared" si="17"/>
        <v>197.29406249999997</v>
      </c>
      <c r="CS33">
        <f t="shared" si="18"/>
        <v>78.95034374999999</v>
      </c>
      <c r="CT33">
        <f t="shared" si="19"/>
        <v>13120.968716099998</v>
      </c>
      <c r="CU33">
        <f t="shared" si="20"/>
        <v>0</v>
      </c>
      <c r="CV33">
        <f t="shared" si="21"/>
        <v>91.26698999999998</v>
      </c>
      <c r="CW33">
        <f t="shared" si="22"/>
        <v>0</v>
      </c>
      <c r="CX33">
        <f t="shared" si="23"/>
        <v>0</v>
      </c>
      <c r="CY33">
        <f t="shared" si="24"/>
        <v>108.9043</v>
      </c>
      <c r="CZ33">
        <f t="shared" si="25"/>
        <v>59.044500000000006</v>
      </c>
      <c r="DE33" t="s">
        <v>38</v>
      </c>
      <c r="DF33" t="s">
        <v>38</v>
      </c>
      <c r="DG33" t="s">
        <v>39</v>
      </c>
      <c r="DI33" t="s">
        <v>39</v>
      </c>
      <c r="DJ33" t="s">
        <v>38</v>
      </c>
      <c r="DN33">
        <v>91</v>
      </c>
      <c r="DO33">
        <v>70</v>
      </c>
      <c r="DP33">
        <v>1.047</v>
      </c>
      <c r="DQ33">
        <v>1</v>
      </c>
      <c r="DR33">
        <v>1</v>
      </c>
      <c r="DS33">
        <v>1</v>
      </c>
      <c r="DT33">
        <v>1</v>
      </c>
      <c r="DU33">
        <v>1005</v>
      </c>
      <c r="DV33" t="s">
        <v>25</v>
      </c>
      <c r="DW33" t="s">
        <v>25</v>
      </c>
      <c r="DX33">
        <v>100</v>
      </c>
      <c r="EE33">
        <v>15061650</v>
      </c>
      <c r="EF33">
        <v>30</v>
      </c>
      <c r="EG33" t="s">
        <v>40</v>
      </c>
      <c r="EH33">
        <v>0</v>
      </c>
      <c r="EJ33">
        <v>1</v>
      </c>
      <c r="EK33">
        <v>69</v>
      </c>
      <c r="EL33" t="s">
        <v>68</v>
      </c>
      <c r="EM33" t="s">
        <v>69</v>
      </c>
      <c r="EQ33">
        <v>64</v>
      </c>
      <c r="ER33">
        <v>892.79</v>
      </c>
      <c r="ES33">
        <v>14.63</v>
      </c>
      <c r="ET33">
        <v>20.1</v>
      </c>
      <c r="EU33">
        <v>4.75</v>
      </c>
      <c r="EV33">
        <v>858.06</v>
      </c>
      <c r="EW33">
        <v>75.8</v>
      </c>
      <c r="EX33">
        <v>0</v>
      </c>
      <c r="EY33">
        <v>0</v>
      </c>
      <c r="EZ33">
        <v>0</v>
      </c>
      <c r="FQ33">
        <v>0</v>
      </c>
      <c r="FR33">
        <f t="shared" si="26"/>
        <v>0</v>
      </c>
      <c r="FS33">
        <v>0</v>
      </c>
      <c r="FX33">
        <v>83</v>
      </c>
      <c r="FY33">
        <v>45</v>
      </c>
    </row>
    <row r="35" spans="1:43" ht="12.75">
      <c r="A35" s="2">
        <v>51</v>
      </c>
      <c r="B35" s="2">
        <f>B20</f>
        <v>1</v>
      </c>
      <c r="C35" s="2">
        <f>A20</f>
        <v>3</v>
      </c>
      <c r="D35" s="2">
        <f>ROW(A20)</f>
        <v>20</v>
      </c>
      <c r="E35" s="2"/>
      <c r="F35" s="2">
        <f>IF(F20&lt;&gt;"",F20,"")</f>
      </c>
      <c r="G35" s="2" t="str">
        <f>IF(G20&lt;&gt;"",G20,"")</f>
        <v>Новая локальная смета</v>
      </c>
      <c r="H35" s="2"/>
      <c r="I35" s="2"/>
      <c r="J35" s="2"/>
      <c r="K35" s="2"/>
      <c r="L35" s="2"/>
      <c r="M35" s="2"/>
      <c r="N35" s="2"/>
      <c r="O35" s="2">
        <f aca="true" t="shared" si="30" ref="O35:Y35">ROUND(AB35,2)</f>
        <v>37115.09</v>
      </c>
      <c r="P35" s="2">
        <f t="shared" si="30"/>
        <v>14704.63</v>
      </c>
      <c r="Q35" s="2">
        <f t="shared" si="30"/>
        <v>280.93</v>
      </c>
      <c r="R35" s="2">
        <f t="shared" si="30"/>
        <v>112.42</v>
      </c>
      <c r="S35" s="2">
        <f t="shared" si="30"/>
        <v>22129.53</v>
      </c>
      <c r="T35" s="2">
        <f t="shared" si="30"/>
        <v>0</v>
      </c>
      <c r="U35" s="2">
        <f t="shared" si="30"/>
        <v>154.62</v>
      </c>
      <c r="V35" s="2">
        <f t="shared" si="30"/>
        <v>0</v>
      </c>
      <c r="W35" s="2">
        <f t="shared" si="30"/>
        <v>0</v>
      </c>
      <c r="X35" s="2">
        <f t="shared" si="30"/>
        <v>20127.36</v>
      </c>
      <c r="Y35" s="2">
        <f t="shared" si="30"/>
        <v>9958.29</v>
      </c>
      <c r="Z35" s="2"/>
      <c r="AA35" s="2"/>
      <c r="AB35" s="2">
        <f>ROUND(SUMIF(AA24:AA33,"=0",O24:O33),2)</f>
        <v>37115.09</v>
      </c>
      <c r="AC35" s="2">
        <f>ROUND(SUMIF(AA24:AA33,"=0",P24:P33),2)</f>
        <v>14704.63</v>
      </c>
      <c r="AD35" s="2">
        <f>ROUND(SUMIF(AA24:AA33,"=0",Q24:Q33),2)</f>
        <v>280.93</v>
      </c>
      <c r="AE35" s="2">
        <f>ROUND(SUMIF(AA24:AA33,"=0",R24:R33),2)</f>
        <v>112.42</v>
      </c>
      <c r="AF35" s="2">
        <f>ROUND(SUMIF(AA24:AA33,"=0",S24:S33),2)</f>
        <v>22129.53</v>
      </c>
      <c r="AG35" s="2">
        <f>ROUND(SUMIF(AA24:AA33,"=0",T24:T33),2)</f>
        <v>0</v>
      </c>
      <c r="AH35" s="2">
        <f>ROUND(SUMIF(AA24:AA33,"=0",U24:U33),2)</f>
        <v>154.62</v>
      </c>
      <c r="AI35" s="2">
        <f>ROUND(SUMIF(AA24:AA33,"=0",V24:V33),2)</f>
        <v>0</v>
      </c>
      <c r="AJ35" s="2">
        <f>ROUND(SUMIF(AA24:AA33,"=0",W24:W33),2)</f>
        <v>0</v>
      </c>
      <c r="AK35" s="2">
        <f>ROUND(SUMIF(AA24:AA33,"=0",X24:X33),2)</f>
        <v>20127.36</v>
      </c>
      <c r="AL35" s="2">
        <f>ROUND(SUMIF(AA24:AA33,"=0",Y24:Y33),2)</f>
        <v>9958.29</v>
      </c>
      <c r="AM35" s="2"/>
      <c r="AN35" s="2">
        <f>ROUND(AO35,2)</f>
        <v>0</v>
      </c>
      <c r="AO35" s="2">
        <f>ROUND(SUMIF(AA24:AA33,"=0",FQ24:FQ33),2)</f>
        <v>0</v>
      </c>
      <c r="AP35" s="2">
        <f>ROUND(AQ35,2)</f>
        <v>0</v>
      </c>
      <c r="AQ35" s="2">
        <f>ROUND(SUM(FR24:FR33),2)</f>
        <v>0</v>
      </c>
    </row>
    <row r="37" spans="1:14" ht="12.75">
      <c r="A37" s="3">
        <v>50</v>
      </c>
      <c r="B37" s="3">
        <v>0</v>
      </c>
      <c r="C37" s="3">
        <v>0</v>
      </c>
      <c r="D37" s="3">
        <v>1</v>
      </c>
      <c r="E37" s="3">
        <v>201</v>
      </c>
      <c r="F37" s="3">
        <f>Source!O35</f>
        <v>37115.09</v>
      </c>
      <c r="G37" s="3" t="s">
        <v>70</v>
      </c>
      <c r="H37" s="3" t="s">
        <v>71</v>
      </c>
      <c r="I37" s="3"/>
      <c r="J37" s="3"/>
      <c r="K37" s="3">
        <v>-201</v>
      </c>
      <c r="L37" s="3">
        <v>1</v>
      </c>
      <c r="M37" s="3">
        <v>3</v>
      </c>
      <c r="N37" s="3" t="s">
        <v>3</v>
      </c>
    </row>
    <row r="38" spans="1:14" ht="12.75">
      <c r="A38" s="3">
        <v>50</v>
      </c>
      <c r="B38" s="3">
        <v>0</v>
      </c>
      <c r="C38" s="3">
        <v>0</v>
      </c>
      <c r="D38" s="3">
        <v>1</v>
      </c>
      <c r="E38" s="3">
        <v>202</v>
      </c>
      <c r="F38" s="3">
        <f>Source!P35</f>
        <v>14704.63</v>
      </c>
      <c r="G38" s="3" t="s">
        <v>72</v>
      </c>
      <c r="H38" s="3" t="s">
        <v>73</v>
      </c>
      <c r="I38" s="3"/>
      <c r="J38" s="3"/>
      <c r="K38" s="3">
        <v>-202</v>
      </c>
      <c r="L38" s="3">
        <v>2</v>
      </c>
      <c r="M38" s="3">
        <v>3</v>
      </c>
      <c r="N38" s="3" t="s">
        <v>3</v>
      </c>
    </row>
    <row r="39" spans="1:14" ht="12.75">
      <c r="A39" s="3">
        <v>50</v>
      </c>
      <c r="B39" s="3">
        <v>0</v>
      </c>
      <c r="C39" s="3">
        <v>0</v>
      </c>
      <c r="D39" s="3">
        <v>1</v>
      </c>
      <c r="E39" s="3">
        <v>222</v>
      </c>
      <c r="F39" s="3">
        <f>Source!AN35</f>
        <v>0</v>
      </c>
      <c r="G39" s="3" t="s">
        <v>74</v>
      </c>
      <c r="H39" s="3" t="s">
        <v>75</v>
      </c>
      <c r="I39" s="3"/>
      <c r="J39" s="3"/>
      <c r="K39" s="3">
        <v>-222</v>
      </c>
      <c r="L39" s="3">
        <v>3</v>
      </c>
      <c r="M39" s="3">
        <v>3</v>
      </c>
      <c r="N39" s="3" t="s">
        <v>3</v>
      </c>
    </row>
    <row r="40" spans="1:14" ht="12.75">
      <c r="A40" s="3">
        <v>50</v>
      </c>
      <c r="B40" s="3">
        <v>0</v>
      </c>
      <c r="C40" s="3">
        <v>0</v>
      </c>
      <c r="D40" s="3">
        <v>1</v>
      </c>
      <c r="E40" s="3">
        <v>216</v>
      </c>
      <c r="F40" s="3">
        <f>Source!AP35</f>
        <v>0</v>
      </c>
      <c r="G40" s="3" t="s">
        <v>76</v>
      </c>
      <c r="H40" s="3" t="s">
        <v>77</v>
      </c>
      <c r="I40" s="3"/>
      <c r="J40" s="3"/>
      <c r="K40" s="3">
        <v>-216</v>
      </c>
      <c r="L40" s="3">
        <v>4</v>
      </c>
      <c r="M40" s="3">
        <v>3</v>
      </c>
      <c r="N40" s="3" t="s">
        <v>3</v>
      </c>
    </row>
    <row r="41" spans="1:14" ht="12.75">
      <c r="A41" s="3">
        <v>50</v>
      </c>
      <c r="B41" s="3">
        <v>0</v>
      </c>
      <c r="C41" s="3">
        <v>0</v>
      </c>
      <c r="D41" s="3">
        <v>1</v>
      </c>
      <c r="E41" s="3">
        <v>203</v>
      </c>
      <c r="F41" s="3">
        <f>Source!Q35</f>
        <v>280.93</v>
      </c>
      <c r="G41" s="3" t="s">
        <v>78</v>
      </c>
      <c r="H41" s="3" t="s">
        <v>79</v>
      </c>
      <c r="I41" s="3"/>
      <c r="J41" s="3"/>
      <c r="K41" s="3">
        <v>-203</v>
      </c>
      <c r="L41" s="3">
        <v>5</v>
      </c>
      <c r="M41" s="3">
        <v>3</v>
      </c>
      <c r="N41" s="3" t="s">
        <v>3</v>
      </c>
    </row>
    <row r="42" spans="1:14" ht="12.75">
      <c r="A42" s="3">
        <v>50</v>
      </c>
      <c r="B42" s="3">
        <v>0</v>
      </c>
      <c r="C42" s="3">
        <v>0</v>
      </c>
      <c r="D42" s="3">
        <v>1</v>
      </c>
      <c r="E42" s="3">
        <v>204</v>
      </c>
      <c r="F42" s="3">
        <f>Source!R35</f>
        <v>112.42</v>
      </c>
      <c r="G42" s="3" t="s">
        <v>80</v>
      </c>
      <c r="H42" s="3" t="s">
        <v>81</v>
      </c>
      <c r="I42" s="3"/>
      <c r="J42" s="3"/>
      <c r="K42" s="3">
        <v>-204</v>
      </c>
      <c r="L42" s="3">
        <v>6</v>
      </c>
      <c r="M42" s="3">
        <v>3</v>
      </c>
      <c r="N42" s="3" t="s">
        <v>3</v>
      </c>
    </row>
    <row r="43" spans="1:14" ht="12.75">
      <c r="A43" s="3">
        <v>50</v>
      </c>
      <c r="B43" s="3">
        <v>0</v>
      </c>
      <c r="C43" s="3">
        <v>0</v>
      </c>
      <c r="D43" s="3">
        <v>1</v>
      </c>
      <c r="E43" s="3">
        <v>205</v>
      </c>
      <c r="F43" s="3">
        <f>Source!S35</f>
        <v>22129.53</v>
      </c>
      <c r="G43" s="3" t="s">
        <v>82</v>
      </c>
      <c r="H43" s="3" t="s">
        <v>83</v>
      </c>
      <c r="I43" s="3"/>
      <c r="J43" s="3"/>
      <c r="K43" s="3">
        <v>-205</v>
      </c>
      <c r="L43" s="3">
        <v>7</v>
      </c>
      <c r="M43" s="3">
        <v>3</v>
      </c>
      <c r="N43" s="3" t="s">
        <v>3</v>
      </c>
    </row>
    <row r="44" spans="1:14" ht="12.75">
      <c r="A44" s="3">
        <v>50</v>
      </c>
      <c r="B44" s="3">
        <v>0</v>
      </c>
      <c r="C44" s="3">
        <v>0</v>
      </c>
      <c r="D44" s="3">
        <v>1</v>
      </c>
      <c r="E44" s="3">
        <v>206</v>
      </c>
      <c r="F44" s="3">
        <f>Source!T35</f>
        <v>0</v>
      </c>
      <c r="G44" s="3" t="s">
        <v>84</v>
      </c>
      <c r="H44" s="3" t="s">
        <v>85</v>
      </c>
      <c r="I44" s="3"/>
      <c r="J44" s="3"/>
      <c r="K44" s="3">
        <v>-206</v>
      </c>
      <c r="L44" s="3">
        <v>8</v>
      </c>
      <c r="M44" s="3">
        <v>3</v>
      </c>
      <c r="N44" s="3" t="s">
        <v>3</v>
      </c>
    </row>
    <row r="45" spans="1:14" ht="12.75">
      <c r="A45" s="3">
        <v>50</v>
      </c>
      <c r="B45" s="3">
        <v>0</v>
      </c>
      <c r="C45" s="3">
        <v>0</v>
      </c>
      <c r="D45" s="3">
        <v>1</v>
      </c>
      <c r="E45" s="3">
        <v>207</v>
      </c>
      <c r="F45" s="3">
        <f>Source!U35</f>
        <v>154.62</v>
      </c>
      <c r="G45" s="3" t="s">
        <v>86</v>
      </c>
      <c r="H45" s="3" t="s">
        <v>87</v>
      </c>
      <c r="I45" s="3"/>
      <c r="J45" s="3"/>
      <c r="K45" s="3">
        <v>-207</v>
      </c>
      <c r="L45" s="3">
        <v>9</v>
      </c>
      <c r="M45" s="3">
        <v>3</v>
      </c>
      <c r="N45" s="3" t="s">
        <v>3</v>
      </c>
    </row>
    <row r="46" spans="1:14" ht="12.75">
      <c r="A46" s="3">
        <v>50</v>
      </c>
      <c r="B46" s="3">
        <v>0</v>
      </c>
      <c r="C46" s="3">
        <v>0</v>
      </c>
      <c r="D46" s="3">
        <v>1</v>
      </c>
      <c r="E46" s="3">
        <v>208</v>
      </c>
      <c r="F46" s="3">
        <f>Source!V35</f>
        <v>0</v>
      </c>
      <c r="G46" s="3" t="s">
        <v>88</v>
      </c>
      <c r="H46" s="3" t="s">
        <v>89</v>
      </c>
      <c r="I46" s="3"/>
      <c r="J46" s="3"/>
      <c r="K46" s="3">
        <v>-208</v>
      </c>
      <c r="L46" s="3">
        <v>10</v>
      </c>
      <c r="M46" s="3">
        <v>3</v>
      </c>
      <c r="N46" s="3" t="s">
        <v>3</v>
      </c>
    </row>
    <row r="47" spans="1:14" ht="12.75">
      <c r="A47" s="3">
        <v>50</v>
      </c>
      <c r="B47" s="3">
        <v>0</v>
      </c>
      <c r="C47" s="3">
        <v>0</v>
      </c>
      <c r="D47" s="3">
        <v>1</v>
      </c>
      <c r="E47" s="3">
        <v>209</v>
      </c>
      <c r="F47" s="3">
        <f>Source!W35</f>
        <v>0</v>
      </c>
      <c r="G47" s="3" t="s">
        <v>90</v>
      </c>
      <c r="H47" s="3" t="s">
        <v>91</v>
      </c>
      <c r="I47" s="3"/>
      <c r="J47" s="3"/>
      <c r="K47" s="3">
        <v>-209</v>
      </c>
      <c r="L47" s="3">
        <v>11</v>
      </c>
      <c r="M47" s="3">
        <v>3</v>
      </c>
      <c r="N47" s="3" t="s">
        <v>3</v>
      </c>
    </row>
    <row r="48" spans="1:14" ht="12.75">
      <c r="A48" s="3">
        <v>50</v>
      </c>
      <c r="B48" s="3">
        <v>0</v>
      </c>
      <c r="C48" s="3">
        <v>0</v>
      </c>
      <c r="D48" s="3">
        <v>1</v>
      </c>
      <c r="E48" s="3">
        <v>210</v>
      </c>
      <c r="F48" s="3">
        <f>Source!X35</f>
        <v>20127.36</v>
      </c>
      <c r="G48" s="3" t="s">
        <v>92</v>
      </c>
      <c r="H48" s="3" t="s">
        <v>93</v>
      </c>
      <c r="I48" s="3"/>
      <c r="J48" s="3"/>
      <c r="K48" s="3">
        <v>-210</v>
      </c>
      <c r="L48" s="3">
        <v>12</v>
      </c>
      <c r="M48" s="3">
        <v>3</v>
      </c>
      <c r="N48" s="3" t="s">
        <v>3</v>
      </c>
    </row>
    <row r="49" spans="1:14" ht="12.75">
      <c r="A49" s="3">
        <v>50</v>
      </c>
      <c r="B49" s="3">
        <v>0</v>
      </c>
      <c r="C49" s="3">
        <v>0</v>
      </c>
      <c r="D49" s="3">
        <v>1</v>
      </c>
      <c r="E49" s="3">
        <v>211</v>
      </c>
      <c r="F49" s="3">
        <f>Source!Y35</f>
        <v>9958.29</v>
      </c>
      <c r="G49" s="3" t="s">
        <v>94</v>
      </c>
      <c r="H49" s="3" t="s">
        <v>95</v>
      </c>
      <c r="I49" s="3"/>
      <c r="J49" s="3"/>
      <c r="K49" s="3">
        <v>-211</v>
      </c>
      <c r="L49" s="3">
        <v>13</v>
      </c>
      <c r="M49" s="3">
        <v>3</v>
      </c>
      <c r="N49" s="3" t="s">
        <v>3</v>
      </c>
    </row>
    <row r="51" spans="1:43" ht="12.75">
      <c r="A51" s="2">
        <v>51</v>
      </c>
      <c r="B51" s="2">
        <f>B12</f>
        <v>1</v>
      </c>
      <c r="C51" s="2">
        <f>A12</f>
        <v>1</v>
      </c>
      <c r="D51" s="2">
        <f>ROW(A12)</f>
        <v>12</v>
      </c>
      <c r="E51" s="2"/>
      <c r="F51" s="2" t="str">
        <f>IF(F12&lt;&gt;"",F12,"")</f>
        <v>Новый объект</v>
      </c>
      <c r="G51" s="2" t="str">
        <f>IF(G12&lt;&gt;"",G12,"")</f>
        <v>Демонтаж горючей краски с последующей окраской негорючими материалами в СОШ</v>
      </c>
      <c r="H51" s="2"/>
      <c r="I51" s="2"/>
      <c r="J51" s="2"/>
      <c r="K51" s="2"/>
      <c r="L51" s="2"/>
      <c r="M51" s="2"/>
      <c r="N51" s="2"/>
      <c r="O51" s="2">
        <f aca="true" t="shared" si="31" ref="O51:Y51">ROUND(O35,2)</f>
        <v>37115.09</v>
      </c>
      <c r="P51" s="2">
        <f t="shared" si="31"/>
        <v>14704.63</v>
      </c>
      <c r="Q51" s="2">
        <f t="shared" si="31"/>
        <v>280.93</v>
      </c>
      <c r="R51" s="2">
        <f t="shared" si="31"/>
        <v>112.42</v>
      </c>
      <c r="S51" s="2">
        <f t="shared" si="31"/>
        <v>22129.53</v>
      </c>
      <c r="T51" s="2">
        <f t="shared" si="31"/>
        <v>0</v>
      </c>
      <c r="U51" s="2">
        <f t="shared" si="31"/>
        <v>154.62</v>
      </c>
      <c r="V51" s="2">
        <f t="shared" si="31"/>
        <v>0</v>
      </c>
      <c r="W51" s="2">
        <f t="shared" si="31"/>
        <v>0</v>
      </c>
      <c r="X51" s="2">
        <f t="shared" si="31"/>
        <v>20127.36</v>
      </c>
      <c r="Y51" s="2">
        <f t="shared" si="31"/>
        <v>9958.29</v>
      </c>
      <c r="Z51" s="2"/>
      <c r="AA51" s="2"/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/>
      <c r="AN51" s="2">
        <f>ROUND(AN35,2)</f>
        <v>0</v>
      </c>
      <c r="AO51" s="2">
        <v>0</v>
      </c>
      <c r="AP51" s="2">
        <f>ROUND(AP35,2)</f>
        <v>0</v>
      </c>
      <c r="AQ51" s="2">
        <v>0</v>
      </c>
    </row>
    <row r="53" spans="1:14" ht="12.75">
      <c r="A53" s="3">
        <v>50</v>
      </c>
      <c r="B53" s="3">
        <v>0</v>
      </c>
      <c r="C53" s="3">
        <v>0</v>
      </c>
      <c r="D53" s="3">
        <v>1</v>
      </c>
      <c r="E53" s="3">
        <v>201</v>
      </c>
      <c r="F53" s="3">
        <f>Source!O51</f>
        <v>37115.09</v>
      </c>
      <c r="G53" s="3" t="s">
        <v>70</v>
      </c>
      <c r="H53" s="3" t="s">
        <v>71</v>
      </c>
      <c r="I53" s="3"/>
      <c r="J53" s="3"/>
      <c r="K53" s="3">
        <v>201</v>
      </c>
      <c r="L53" s="3">
        <v>1</v>
      </c>
      <c r="M53" s="3">
        <v>3</v>
      </c>
      <c r="N53" s="3" t="s">
        <v>3</v>
      </c>
    </row>
    <row r="54" spans="1:14" ht="12.75">
      <c r="A54" s="3">
        <v>50</v>
      </c>
      <c r="B54" s="3">
        <v>0</v>
      </c>
      <c r="C54" s="3">
        <v>0</v>
      </c>
      <c r="D54" s="3">
        <v>1</v>
      </c>
      <c r="E54" s="3">
        <v>202</v>
      </c>
      <c r="F54" s="3">
        <f>Source!P51</f>
        <v>14704.63</v>
      </c>
      <c r="G54" s="3" t="s">
        <v>72</v>
      </c>
      <c r="H54" s="3" t="s">
        <v>73</v>
      </c>
      <c r="I54" s="3"/>
      <c r="J54" s="3"/>
      <c r="K54" s="3">
        <v>202</v>
      </c>
      <c r="L54" s="3">
        <v>2</v>
      </c>
      <c r="M54" s="3">
        <v>3</v>
      </c>
      <c r="N54" s="3" t="s">
        <v>3</v>
      </c>
    </row>
    <row r="55" spans="1:14" ht="12.75">
      <c r="A55" s="3">
        <v>50</v>
      </c>
      <c r="B55" s="3">
        <v>0</v>
      </c>
      <c r="C55" s="3">
        <v>0</v>
      </c>
      <c r="D55" s="3">
        <v>1</v>
      </c>
      <c r="E55" s="3">
        <v>222</v>
      </c>
      <c r="F55" s="3">
        <f>Source!AN51</f>
        <v>0</v>
      </c>
      <c r="G55" s="3" t="s">
        <v>74</v>
      </c>
      <c r="H55" s="3" t="s">
        <v>75</v>
      </c>
      <c r="I55" s="3"/>
      <c r="J55" s="3"/>
      <c r="K55" s="3">
        <v>222</v>
      </c>
      <c r="L55" s="3">
        <v>3</v>
      </c>
      <c r="M55" s="3">
        <v>3</v>
      </c>
      <c r="N55" s="3" t="s">
        <v>3</v>
      </c>
    </row>
    <row r="56" spans="1:14" ht="12.75">
      <c r="A56" s="3">
        <v>50</v>
      </c>
      <c r="B56" s="3">
        <v>0</v>
      </c>
      <c r="C56" s="3">
        <v>0</v>
      </c>
      <c r="D56" s="3">
        <v>1</v>
      </c>
      <c r="E56" s="3">
        <v>216</v>
      </c>
      <c r="F56" s="3">
        <f>Source!AP51</f>
        <v>0</v>
      </c>
      <c r="G56" s="3" t="s">
        <v>76</v>
      </c>
      <c r="H56" s="3" t="s">
        <v>77</v>
      </c>
      <c r="I56" s="3"/>
      <c r="J56" s="3"/>
      <c r="K56" s="3">
        <v>216</v>
      </c>
      <c r="L56" s="3">
        <v>4</v>
      </c>
      <c r="M56" s="3">
        <v>3</v>
      </c>
      <c r="N56" s="3" t="s">
        <v>3</v>
      </c>
    </row>
    <row r="57" spans="1:14" ht="12.75">
      <c r="A57" s="3">
        <v>50</v>
      </c>
      <c r="B57" s="3">
        <v>0</v>
      </c>
      <c r="C57" s="3">
        <v>0</v>
      </c>
      <c r="D57" s="3">
        <v>1</v>
      </c>
      <c r="E57" s="3">
        <v>203</v>
      </c>
      <c r="F57" s="3">
        <f>Source!Q51</f>
        <v>280.93</v>
      </c>
      <c r="G57" s="3" t="s">
        <v>78</v>
      </c>
      <c r="H57" s="3" t="s">
        <v>79</v>
      </c>
      <c r="I57" s="3"/>
      <c r="J57" s="3"/>
      <c r="K57" s="3">
        <v>203</v>
      </c>
      <c r="L57" s="3">
        <v>5</v>
      </c>
      <c r="M57" s="3">
        <v>3</v>
      </c>
      <c r="N57" s="3" t="s">
        <v>3</v>
      </c>
    </row>
    <row r="58" spans="1:14" ht="12.75">
      <c r="A58" s="3">
        <v>50</v>
      </c>
      <c r="B58" s="3">
        <v>0</v>
      </c>
      <c r="C58" s="3">
        <v>0</v>
      </c>
      <c r="D58" s="3">
        <v>1</v>
      </c>
      <c r="E58" s="3">
        <v>204</v>
      </c>
      <c r="F58" s="3">
        <f>Source!R51</f>
        <v>112.42</v>
      </c>
      <c r="G58" s="3" t="s">
        <v>80</v>
      </c>
      <c r="H58" s="3" t="s">
        <v>81</v>
      </c>
      <c r="I58" s="3"/>
      <c r="J58" s="3"/>
      <c r="K58" s="3">
        <v>204</v>
      </c>
      <c r="L58" s="3">
        <v>6</v>
      </c>
      <c r="M58" s="3">
        <v>3</v>
      </c>
      <c r="N58" s="3" t="s">
        <v>3</v>
      </c>
    </row>
    <row r="59" spans="1:14" ht="12.75">
      <c r="A59" s="3">
        <v>50</v>
      </c>
      <c r="B59" s="3">
        <v>0</v>
      </c>
      <c r="C59" s="3">
        <v>0</v>
      </c>
      <c r="D59" s="3">
        <v>1</v>
      </c>
      <c r="E59" s="3">
        <v>205</v>
      </c>
      <c r="F59" s="3">
        <f>Source!S51</f>
        <v>22129.53</v>
      </c>
      <c r="G59" s="3" t="s">
        <v>82</v>
      </c>
      <c r="H59" s="3" t="s">
        <v>83</v>
      </c>
      <c r="I59" s="3"/>
      <c r="J59" s="3"/>
      <c r="K59" s="3">
        <v>205</v>
      </c>
      <c r="L59" s="3">
        <v>7</v>
      </c>
      <c r="M59" s="3">
        <v>3</v>
      </c>
      <c r="N59" s="3" t="s">
        <v>3</v>
      </c>
    </row>
    <row r="60" spans="1:14" ht="12.75">
      <c r="A60" s="3">
        <v>50</v>
      </c>
      <c r="B60" s="3">
        <v>0</v>
      </c>
      <c r="C60" s="3">
        <v>0</v>
      </c>
      <c r="D60" s="3">
        <v>1</v>
      </c>
      <c r="E60" s="3">
        <v>206</v>
      </c>
      <c r="F60" s="3">
        <f>Source!T51</f>
        <v>0</v>
      </c>
      <c r="G60" s="3" t="s">
        <v>84</v>
      </c>
      <c r="H60" s="3" t="s">
        <v>85</v>
      </c>
      <c r="I60" s="3"/>
      <c r="J60" s="3"/>
      <c r="K60" s="3">
        <v>206</v>
      </c>
      <c r="L60" s="3">
        <v>8</v>
      </c>
      <c r="M60" s="3">
        <v>3</v>
      </c>
      <c r="N60" s="3" t="s">
        <v>3</v>
      </c>
    </row>
    <row r="61" spans="1:14" ht="12.75">
      <c r="A61" s="3">
        <v>50</v>
      </c>
      <c r="B61" s="3">
        <v>0</v>
      </c>
      <c r="C61" s="3">
        <v>0</v>
      </c>
      <c r="D61" s="3">
        <v>1</v>
      </c>
      <c r="E61" s="3">
        <v>207</v>
      </c>
      <c r="F61" s="3">
        <f>Source!U51</f>
        <v>154.62</v>
      </c>
      <c r="G61" s="3" t="s">
        <v>86</v>
      </c>
      <c r="H61" s="3" t="s">
        <v>87</v>
      </c>
      <c r="I61" s="3"/>
      <c r="J61" s="3"/>
      <c r="K61" s="3">
        <v>207</v>
      </c>
      <c r="L61" s="3">
        <v>9</v>
      </c>
      <c r="M61" s="3">
        <v>3</v>
      </c>
      <c r="N61" s="3" t="s">
        <v>3</v>
      </c>
    </row>
    <row r="62" spans="1:14" ht="12.75">
      <c r="A62" s="3">
        <v>50</v>
      </c>
      <c r="B62" s="3">
        <v>0</v>
      </c>
      <c r="C62" s="3">
        <v>0</v>
      </c>
      <c r="D62" s="3">
        <v>1</v>
      </c>
      <c r="E62" s="3">
        <v>208</v>
      </c>
      <c r="F62" s="3">
        <f>Source!V51</f>
        <v>0</v>
      </c>
      <c r="G62" s="3" t="s">
        <v>88</v>
      </c>
      <c r="H62" s="3" t="s">
        <v>89</v>
      </c>
      <c r="I62" s="3"/>
      <c r="J62" s="3"/>
      <c r="K62" s="3">
        <v>208</v>
      </c>
      <c r="L62" s="3">
        <v>10</v>
      </c>
      <c r="M62" s="3">
        <v>3</v>
      </c>
      <c r="N62" s="3" t="s">
        <v>3</v>
      </c>
    </row>
    <row r="63" spans="1:14" ht="12.75">
      <c r="A63" s="3">
        <v>50</v>
      </c>
      <c r="B63" s="3">
        <v>0</v>
      </c>
      <c r="C63" s="3">
        <v>0</v>
      </c>
      <c r="D63" s="3">
        <v>1</v>
      </c>
      <c r="E63" s="3">
        <v>209</v>
      </c>
      <c r="F63" s="3">
        <f>Source!W51</f>
        <v>0</v>
      </c>
      <c r="G63" s="3" t="s">
        <v>90</v>
      </c>
      <c r="H63" s="3" t="s">
        <v>91</v>
      </c>
      <c r="I63" s="3"/>
      <c r="J63" s="3"/>
      <c r="K63" s="3">
        <v>209</v>
      </c>
      <c r="L63" s="3">
        <v>11</v>
      </c>
      <c r="M63" s="3">
        <v>3</v>
      </c>
      <c r="N63" s="3" t="s">
        <v>3</v>
      </c>
    </row>
    <row r="64" spans="1:14" ht="12.75">
      <c r="A64" s="3">
        <v>50</v>
      </c>
      <c r="B64" s="3">
        <v>0</v>
      </c>
      <c r="C64" s="3">
        <v>0</v>
      </c>
      <c r="D64" s="3">
        <v>1</v>
      </c>
      <c r="E64" s="3">
        <v>210</v>
      </c>
      <c r="F64" s="3">
        <f>Source!X51</f>
        <v>20127.36</v>
      </c>
      <c r="G64" s="3" t="s">
        <v>92</v>
      </c>
      <c r="H64" s="3" t="s">
        <v>93</v>
      </c>
      <c r="I64" s="3"/>
      <c r="J64" s="3"/>
      <c r="K64" s="3">
        <v>210</v>
      </c>
      <c r="L64" s="3">
        <v>12</v>
      </c>
      <c r="M64" s="3">
        <v>3</v>
      </c>
      <c r="N64" s="3" t="s">
        <v>3</v>
      </c>
    </row>
    <row r="65" spans="1:14" ht="12.75">
      <c r="A65" s="3">
        <v>50</v>
      </c>
      <c r="B65" s="3">
        <v>0</v>
      </c>
      <c r="C65" s="3">
        <v>0</v>
      </c>
      <c r="D65" s="3">
        <v>1</v>
      </c>
      <c r="E65" s="3">
        <v>211</v>
      </c>
      <c r="F65" s="3">
        <f>Source!Y51</f>
        <v>9958.29</v>
      </c>
      <c r="G65" s="3" t="s">
        <v>94</v>
      </c>
      <c r="H65" s="3" t="s">
        <v>95</v>
      </c>
      <c r="I65" s="3"/>
      <c r="J65" s="3"/>
      <c r="K65" s="3">
        <v>211</v>
      </c>
      <c r="L65" s="3">
        <v>13</v>
      </c>
      <c r="M65" s="3">
        <v>3</v>
      </c>
      <c r="N65" s="3" t="s">
        <v>3</v>
      </c>
    </row>
    <row r="66" spans="1:14" ht="12.75">
      <c r="A66" s="3">
        <v>50</v>
      </c>
      <c r="B66" s="3">
        <v>1</v>
      </c>
      <c r="C66" s="3">
        <v>0</v>
      </c>
      <c r="D66" s="3">
        <v>2</v>
      </c>
      <c r="E66" s="3">
        <v>0</v>
      </c>
      <c r="F66" s="3">
        <f>ROUND(Source!F53+Source!F64+Source!F65+Source!F58*1.78,2)</f>
        <v>67400.85</v>
      </c>
      <c r="G66" s="3" t="s">
        <v>96</v>
      </c>
      <c r="H66" s="3" t="s">
        <v>97</v>
      </c>
      <c r="I66" s="3"/>
      <c r="J66" s="3"/>
      <c r="K66" s="3">
        <v>212</v>
      </c>
      <c r="L66" s="3">
        <v>14</v>
      </c>
      <c r="M66" s="3">
        <v>0</v>
      </c>
      <c r="N66" s="3" t="s">
        <v>3</v>
      </c>
    </row>
    <row r="67" spans="1:14" ht="12.75">
      <c r="A67" s="3">
        <v>50</v>
      </c>
      <c r="B67" s="3">
        <v>1</v>
      </c>
      <c r="C67" s="3">
        <v>0</v>
      </c>
      <c r="D67" s="3">
        <v>2</v>
      </c>
      <c r="E67" s="3">
        <v>0</v>
      </c>
      <c r="F67" s="3">
        <f>ROUND(Source!F66*0.18,2)</f>
        <v>12132.15</v>
      </c>
      <c r="G67" s="3" t="s">
        <v>98</v>
      </c>
      <c r="H67" s="3" t="s">
        <v>99</v>
      </c>
      <c r="I67" s="3"/>
      <c r="J67" s="3"/>
      <c r="K67" s="3">
        <v>212</v>
      </c>
      <c r="L67" s="3">
        <v>15</v>
      </c>
      <c r="M67" s="3">
        <v>0</v>
      </c>
      <c r="N67" s="3" t="s">
        <v>3</v>
      </c>
    </row>
    <row r="68" spans="1:14" ht="12.75">
      <c r="A68" s="3">
        <v>50</v>
      </c>
      <c r="B68" s="3">
        <v>1</v>
      </c>
      <c r="C68" s="3">
        <v>0</v>
      </c>
      <c r="D68" s="3">
        <v>2</v>
      </c>
      <c r="E68" s="3">
        <v>0</v>
      </c>
      <c r="F68" s="3">
        <f>ROUND(Source!F66+Source!F67,2)</f>
        <v>79533</v>
      </c>
      <c r="G68" s="3" t="s">
        <v>100</v>
      </c>
      <c r="H68" s="3" t="s">
        <v>101</v>
      </c>
      <c r="I68" s="3"/>
      <c r="J68" s="3"/>
      <c r="K68" s="3">
        <v>212</v>
      </c>
      <c r="L68" s="3">
        <v>16</v>
      </c>
      <c r="M68" s="3">
        <v>0</v>
      </c>
      <c r="N68" s="3" t="s">
        <v>3</v>
      </c>
    </row>
    <row r="72" spans="1:5" ht="12.75">
      <c r="A72">
        <v>65</v>
      </c>
      <c r="C72">
        <v>1</v>
      </c>
      <c r="D72">
        <v>0</v>
      </c>
      <c r="E72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B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0" ht="12.75">
      <c r="A1">
        <f>ROW(Source!A24)</f>
        <v>24</v>
      </c>
      <c r="B1">
        <v>12244890</v>
      </c>
      <c r="C1">
        <v>12244889</v>
      </c>
      <c r="D1">
        <v>5065702</v>
      </c>
      <c r="E1">
        <v>5065699</v>
      </c>
      <c r="F1">
        <v>1</v>
      </c>
      <c r="G1">
        <v>5065699</v>
      </c>
      <c r="H1">
        <v>1</v>
      </c>
      <c r="I1" t="s">
        <v>102</v>
      </c>
      <c r="K1" t="s">
        <v>103</v>
      </c>
      <c r="L1">
        <v>1191</v>
      </c>
      <c r="N1">
        <v>1013</v>
      </c>
      <c r="O1" t="s">
        <v>104</v>
      </c>
      <c r="P1" t="s">
        <v>104</v>
      </c>
      <c r="Q1">
        <v>1</v>
      </c>
      <c r="Y1">
        <v>0.6</v>
      </c>
      <c r="AA1">
        <v>0</v>
      </c>
      <c r="AB1">
        <v>0</v>
      </c>
      <c r="AC1">
        <v>0</v>
      </c>
      <c r="AD1">
        <v>0</v>
      </c>
      <c r="AN1">
        <v>0</v>
      </c>
      <c r="AO1">
        <v>1</v>
      </c>
      <c r="AP1">
        <v>0</v>
      </c>
      <c r="AQ1">
        <v>0</v>
      </c>
      <c r="AR1">
        <v>0</v>
      </c>
      <c r="AT1">
        <v>0.6</v>
      </c>
      <c r="AV1">
        <v>1</v>
      </c>
      <c r="AW1">
        <v>2</v>
      </c>
      <c r="AX1">
        <v>12244890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B1">
        <v>0</v>
      </c>
    </row>
    <row r="2" spans="1:80" ht="12.75">
      <c r="A2">
        <f>ROW(Source!A25)</f>
        <v>25</v>
      </c>
      <c r="B2">
        <v>12244892</v>
      </c>
      <c r="C2">
        <v>12244891</v>
      </c>
      <c r="D2">
        <v>5065702</v>
      </c>
      <c r="E2">
        <v>5065699</v>
      </c>
      <c r="F2">
        <v>1</v>
      </c>
      <c r="G2">
        <v>5065699</v>
      </c>
      <c r="H2">
        <v>1</v>
      </c>
      <c r="I2" t="s">
        <v>102</v>
      </c>
      <c r="K2" t="s">
        <v>103</v>
      </c>
      <c r="L2">
        <v>1191</v>
      </c>
      <c r="N2">
        <v>1013</v>
      </c>
      <c r="O2" t="s">
        <v>104</v>
      </c>
      <c r="P2" t="s">
        <v>104</v>
      </c>
      <c r="Q2">
        <v>1</v>
      </c>
      <c r="Y2">
        <v>226.6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0</v>
      </c>
      <c r="AQ2">
        <v>0</v>
      </c>
      <c r="AR2">
        <v>0</v>
      </c>
      <c r="AT2">
        <v>226.6</v>
      </c>
      <c r="AV2">
        <v>1</v>
      </c>
      <c r="AW2">
        <v>2</v>
      </c>
      <c r="AX2">
        <v>12244892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B2">
        <v>0</v>
      </c>
    </row>
    <row r="3" spans="1:80" ht="12.75">
      <c r="A3">
        <f>ROW(Source!A25)</f>
        <v>25</v>
      </c>
      <c r="B3">
        <v>12244894</v>
      </c>
      <c r="C3">
        <v>12244891</v>
      </c>
      <c r="D3">
        <v>5090575</v>
      </c>
      <c r="E3">
        <v>5065699</v>
      </c>
      <c r="F3">
        <v>1</v>
      </c>
      <c r="G3">
        <v>5065699</v>
      </c>
      <c r="H3">
        <v>3</v>
      </c>
      <c r="I3" t="s">
        <v>105</v>
      </c>
      <c r="K3" t="s">
        <v>106</v>
      </c>
      <c r="L3">
        <v>1348</v>
      </c>
      <c r="N3">
        <v>1009</v>
      </c>
      <c r="O3" t="s">
        <v>54</v>
      </c>
      <c r="P3" t="s">
        <v>54</v>
      </c>
      <c r="Q3">
        <v>1000</v>
      </c>
      <c r="Y3">
        <v>3.38</v>
      </c>
      <c r="AA3">
        <v>0</v>
      </c>
      <c r="AB3">
        <v>0</v>
      </c>
      <c r="AC3">
        <v>0</v>
      </c>
      <c r="AD3">
        <v>0</v>
      </c>
      <c r="AN3">
        <v>0</v>
      </c>
      <c r="AO3">
        <v>1</v>
      </c>
      <c r="AP3">
        <v>0</v>
      </c>
      <c r="AQ3">
        <v>0</v>
      </c>
      <c r="AR3">
        <v>0</v>
      </c>
      <c r="AT3">
        <v>3.38</v>
      </c>
      <c r="AV3">
        <v>0</v>
      </c>
      <c r="AW3">
        <v>2</v>
      </c>
      <c r="AX3">
        <v>12244894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B3">
        <v>0</v>
      </c>
    </row>
    <row r="4" spans="1:80" ht="12.75">
      <c r="A4">
        <f>ROW(Source!A25)</f>
        <v>25</v>
      </c>
      <c r="B4">
        <v>12244897</v>
      </c>
      <c r="C4">
        <v>12244891</v>
      </c>
      <c r="D4">
        <v>5143088</v>
      </c>
      <c r="E4">
        <v>1</v>
      </c>
      <c r="F4">
        <v>1</v>
      </c>
      <c r="G4">
        <v>5065699</v>
      </c>
      <c r="H4">
        <v>3</v>
      </c>
      <c r="I4" t="s">
        <v>30</v>
      </c>
      <c r="J4" t="s">
        <v>33</v>
      </c>
      <c r="K4" t="s">
        <v>31</v>
      </c>
      <c r="L4">
        <v>1339</v>
      </c>
      <c r="N4">
        <v>1007</v>
      </c>
      <c r="O4" t="s">
        <v>32</v>
      </c>
      <c r="P4" t="s">
        <v>32</v>
      </c>
      <c r="Q4">
        <v>1</v>
      </c>
      <c r="Y4">
        <v>2.260256</v>
      </c>
      <c r="AA4">
        <v>481.69</v>
      </c>
      <c r="AB4">
        <v>0</v>
      </c>
      <c r="AC4">
        <v>0</v>
      </c>
      <c r="AD4">
        <v>0</v>
      </c>
      <c r="AN4">
        <v>0</v>
      </c>
      <c r="AO4">
        <v>0</v>
      </c>
      <c r="AP4">
        <v>0</v>
      </c>
      <c r="AQ4">
        <v>0</v>
      </c>
      <c r="AR4">
        <v>0</v>
      </c>
      <c r="AT4">
        <v>2.260256</v>
      </c>
      <c r="AV4">
        <v>0</v>
      </c>
      <c r="AW4">
        <v>1</v>
      </c>
      <c r="AX4">
        <v>-1</v>
      </c>
      <c r="AY4">
        <v>0</v>
      </c>
      <c r="AZ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B4">
        <v>0</v>
      </c>
    </row>
    <row r="5" spans="1:80" ht="12.75">
      <c r="A5">
        <f>ROW(Source!A27)</f>
        <v>27</v>
      </c>
      <c r="B5">
        <v>12244899</v>
      </c>
      <c r="C5">
        <v>12244898</v>
      </c>
      <c r="D5">
        <v>5065702</v>
      </c>
      <c r="E5">
        <v>5065699</v>
      </c>
      <c r="F5">
        <v>1</v>
      </c>
      <c r="G5">
        <v>5065699</v>
      </c>
      <c r="H5">
        <v>1</v>
      </c>
      <c r="I5" t="s">
        <v>102</v>
      </c>
      <c r="K5" t="s">
        <v>103</v>
      </c>
      <c r="L5">
        <v>1191</v>
      </c>
      <c r="N5">
        <v>1013</v>
      </c>
      <c r="O5" t="s">
        <v>104</v>
      </c>
      <c r="P5" t="s">
        <v>104</v>
      </c>
      <c r="Q5">
        <v>1</v>
      </c>
      <c r="Y5">
        <v>18.055</v>
      </c>
      <c r="AA5">
        <v>0</v>
      </c>
      <c r="AB5">
        <v>0</v>
      </c>
      <c r="AC5">
        <v>0</v>
      </c>
      <c r="AD5">
        <v>0</v>
      </c>
      <c r="AN5">
        <v>0</v>
      </c>
      <c r="AO5">
        <v>1</v>
      </c>
      <c r="AP5">
        <v>1</v>
      </c>
      <c r="AQ5">
        <v>0</v>
      </c>
      <c r="AR5">
        <v>0</v>
      </c>
      <c r="AT5">
        <v>15.7</v>
      </c>
      <c r="AU5" t="s">
        <v>39</v>
      </c>
      <c r="AV5">
        <v>1</v>
      </c>
      <c r="AW5">
        <v>2</v>
      </c>
      <c r="AX5">
        <v>12244899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B5">
        <v>0</v>
      </c>
    </row>
    <row r="6" spans="1:80" ht="12.75">
      <c r="A6">
        <f>ROW(Source!A27)</f>
        <v>27</v>
      </c>
      <c r="B6">
        <v>12244900</v>
      </c>
      <c r="C6">
        <v>12244898</v>
      </c>
      <c r="D6">
        <v>5140005</v>
      </c>
      <c r="E6">
        <v>1</v>
      </c>
      <c r="F6">
        <v>1</v>
      </c>
      <c r="G6">
        <v>5065699</v>
      </c>
      <c r="H6">
        <v>3</v>
      </c>
      <c r="I6" t="s">
        <v>107</v>
      </c>
      <c r="J6" t="s">
        <v>108</v>
      </c>
      <c r="K6" t="s">
        <v>109</v>
      </c>
      <c r="L6">
        <v>1348</v>
      </c>
      <c r="N6">
        <v>1009</v>
      </c>
      <c r="O6" t="s">
        <v>54</v>
      </c>
      <c r="P6" t="s">
        <v>54</v>
      </c>
      <c r="Q6">
        <v>1000</v>
      </c>
      <c r="Y6">
        <v>0.024</v>
      </c>
      <c r="AA6">
        <v>39052.85</v>
      </c>
      <c r="AB6">
        <v>0</v>
      </c>
      <c r="AC6">
        <v>0</v>
      </c>
      <c r="AD6">
        <v>0</v>
      </c>
      <c r="AN6">
        <v>0</v>
      </c>
      <c r="AO6">
        <v>1</v>
      </c>
      <c r="AP6">
        <v>1</v>
      </c>
      <c r="AQ6">
        <v>0</v>
      </c>
      <c r="AR6">
        <v>0</v>
      </c>
      <c r="AT6">
        <v>0.024</v>
      </c>
      <c r="AV6">
        <v>0</v>
      </c>
      <c r="AW6">
        <v>2</v>
      </c>
      <c r="AX6">
        <v>12244900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B6">
        <v>0</v>
      </c>
    </row>
    <row r="7" spans="1:80" ht="12.75">
      <c r="A7">
        <f>ROW(Source!A27)</f>
        <v>27</v>
      </c>
      <c r="B7">
        <v>12244904</v>
      </c>
      <c r="C7">
        <v>12244898</v>
      </c>
      <c r="D7">
        <v>5140480</v>
      </c>
      <c r="E7">
        <v>1</v>
      </c>
      <c r="F7">
        <v>1</v>
      </c>
      <c r="G7">
        <v>5065699</v>
      </c>
      <c r="H7">
        <v>3</v>
      </c>
      <c r="I7" t="s">
        <v>44</v>
      </c>
      <c r="J7" t="s">
        <v>46</v>
      </c>
      <c r="K7" t="s">
        <v>45</v>
      </c>
      <c r="L7">
        <v>1327</v>
      </c>
      <c r="N7">
        <v>1005</v>
      </c>
      <c r="O7" t="s">
        <v>17</v>
      </c>
      <c r="P7" t="s">
        <v>17</v>
      </c>
      <c r="Q7">
        <v>1</v>
      </c>
      <c r="Y7">
        <v>105</v>
      </c>
      <c r="AA7">
        <v>6.32</v>
      </c>
      <c r="AB7">
        <v>0</v>
      </c>
      <c r="AC7">
        <v>0</v>
      </c>
      <c r="AD7">
        <v>0</v>
      </c>
      <c r="AN7">
        <v>0</v>
      </c>
      <c r="AO7">
        <v>0</v>
      </c>
      <c r="AP7">
        <v>1</v>
      </c>
      <c r="AQ7">
        <v>0</v>
      </c>
      <c r="AR7">
        <v>0</v>
      </c>
      <c r="AT7">
        <v>105</v>
      </c>
      <c r="AV7">
        <v>0</v>
      </c>
      <c r="AW7">
        <v>1</v>
      </c>
      <c r="AX7">
        <v>-1</v>
      </c>
      <c r="AY7">
        <v>0</v>
      </c>
      <c r="AZ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B7">
        <v>0</v>
      </c>
    </row>
    <row r="8" spans="1:80" ht="12.75">
      <c r="A8">
        <f>ROW(Source!A29)</f>
        <v>29</v>
      </c>
      <c r="B8">
        <v>12244906</v>
      </c>
      <c r="C8">
        <v>12244905</v>
      </c>
      <c r="D8">
        <v>5065702</v>
      </c>
      <c r="E8">
        <v>5065699</v>
      </c>
      <c r="F8">
        <v>1</v>
      </c>
      <c r="G8">
        <v>5065699</v>
      </c>
      <c r="H8">
        <v>1</v>
      </c>
      <c r="I8" t="s">
        <v>102</v>
      </c>
      <c r="K8" t="s">
        <v>103</v>
      </c>
      <c r="L8">
        <v>1191</v>
      </c>
      <c r="N8">
        <v>1013</v>
      </c>
      <c r="O8" t="s">
        <v>104</v>
      </c>
      <c r="P8" t="s">
        <v>104</v>
      </c>
      <c r="Q8">
        <v>1</v>
      </c>
      <c r="Y8">
        <v>44.85</v>
      </c>
      <c r="AA8">
        <v>0</v>
      </c>
      <c r="AB8">
        <v>0</v>
      </c>
      <c r="AC8">
        <v>0</v>
      </c>
      <c r="AD8">
        <v>0</v>
      </c>
      <c r="AN8">
        <v>0</v>
      </c>
      <c r="AO8">
        <v>1</v>
      </c>
      <c r="AP8">
        <v>1</v>
      </c>
      <c r="AQ8">
        <v>0</v>
      </c>
      <c r="AR8">
        <v>0</v>
      </c>
      <c r="AT8">
        <v>39</v>
      </c>
      <c r="AU8" t="s">
        <v>39</v>
      </c>
      <c r="AV8">
        <v>1</v>
      </c>
      <c r="AW8">
        <v>2</v>
      </c>
      <c r="AX8">
        <v>12244906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B8">
        <v>0</v>
      </c>
    </row>
    <row r="9" spans="1:80" ht="12.75">
      <c r="A9">
        <f>ROW(Source!A29)</f>
        <v>29</v>
      </c>
      <c r="B9">
        <v>12244907</v>
      </c>
      <c r="C9">
        <v>12244905</v>
      </c>
      <c r="D9">
        <v>5067815</v>
      </c>
      <c r="E9">
        <v>5065699</v>
      </c>
      <c r="F9">
        <v>1</v>
      </c>
      <c r="G9">
        <v>5065699</v>
      </c>
      <c r="H9">
        <v>2</v>
      </c>
      <c r="I9" t="s">
        <v>110</v>
      </c>
      <c r="K9" t="s">
        <v>111</v>
      </c>
      <c r="L9">
        <v>1344</v>
      </c>
      <c r="N9">
        <v>1008</v>
      </c>
      <c r="O9" t="s">
        <v>112</v>
      </c>
      <c r="P9" t="s">
        <v>112</v>
      </c>
      <c r="Q9">
        <v>1</v>
      </c>
      <c r="Y9">
        <v>36.2875</v>
      </c>
      <c r="AA9">
        <v>0</v>
      </c>
      <c r="AB9">
        <v>1</v>
      </c>
      <c r="AC9">
        <v>0</v>
      </c>
      <c r="AD9">
        <v>0</v>
      </c>
      <c r="AN9">
        <v>0</v>
      </c>
      <c r="AO9">
        <v>1</v>
      </c>
      <c r="AP9">
        <v>1</v>
      </c>
      <c r="AQ9">
        <v>0</v>
      </c>
      <c r="AR9">
        <v>0</v>
      </c>
      <c r="AT9">
        <v>29.03</v>
      </c>
      <c r="AU9" t="s">
        <v>38</v>
      </c>
      <c r="AV9">
        <v>0</v>
      </c>
      <c r="AW9">
        <v>2</v>
      </c>
      <c r="AX9">
        <v>12244907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B9">
        <v>0</v>
      </c>
    </row>
    <row r="10" spans="1:80" ht="12.75">
      <c r="A10">
        <f>ROW(Source!A29)</f>
        <v>29</v>
      </c>
      <c r="B10">
        <v>12244911</v>
      </c>
      <c r="C10">
        <v>12244905</v>
      </c>
      <c r="D10">
        <v>5090580</v>
      </c>
      <c r="E10">
        <v>5065699</v>
      </c>
      <c r="F10">
        <v>1</v>
      </c>
      <c r="G10">
        <v>5065699</v>
      </c>
      <c r="H10">
        <v>3</v>
      </c>
      <c r="I10" t="s">
        <v>105</v>
      </c>
      <c r="K10" t="s">
        <v>113</v>
      </c>
      <c r="L10">
        <v>1344</v>
      </c>
      <c r="N10">
        <v>1008</v>
      </c>
      <c r="O10" t="s">
        <v>112</v>
      </c>
      <c r="P10" t="s">
        <v>112</v>
      </c>
      <c r="Q10">
        <v>1</v>
      </c>
      <c r="Y10">
        <v>6.09</v>
      </c>
      <c r="AA10">
        <v>1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6.09</v>
      </c>
      <c r="AV10">
        <v>0</v>
      </c>
      <c r="AW10">
        <v>2</v>
      </c>
      <c r="AX10">
        <v>12244911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B10">
        <v>0</v>
      </c>
    </row>
    <row r="11" spans="1:80" ht="12.75">
      <c r="A11">
        <f>ROW(Source!A29)</f>
        <v>29</v>
      </c>
      <c r="B11">
        <v>12244908</v>
      </c>
      <c r="C11">
        <v>12244905</v>
      </c>
      <c r="D11">
        <v>5141263</v>
      </c>
      <c r="E11">
        <v>1</v>
      </c>
      <c r="F11">
        <v>1</v>
      </c>
      <c r="G11">
        <v>5065699</v>
      </c>
      <c r="H11">
        <v>3</v>
      </c>
      <c r="I11" t="s">
        <v>52</v>
      </c>
      <c r="J11" t="s">
        <v>55</v>
      </c>
      <c r="K11" t="s">
        <v>53</v>
      </c>
      <c r="L11">
        <v>1348</v>
      </c>
      <c r="N11">
        <v>1009</v>
      </c>
      <c r="O11" t="s">
        <v>54</v>
      </c>
      <c r="P11" t="s">
        <v>54</v>
      </c>
      <c r="Q11">
        <v>1000</v>
      </c>
      <c r="Y11">
        <v>0.051</v>
      </c>
      <c r="AA11">
        <v>11569.28</v>
      </c>
      <c r="AB11">
        <v>0</v>
      </c>
      <c r="AC11">
        <v>0</v>
      </c>
      <c r="AD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T11">
        <v>0.051</v>
      </c>
      <c r="AV11">
        <v>0</v>
      </c>
      <c r="AW11">
        <v>1</v>
      </c>
      <c r="AX11">
        <v>-1</v>
      </c>
      <c r="AY11">
        <v>0</v>
      </c>
      <c r="AZ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B11">
        <v>0</v>
      </c>
    </row>
    <row r="12" spans="1:80" ht="12.75">
      <c r="A12">
        <f>ROW(Source!A29)</f>
        <v>29</v>
      </c>
      <c r="B12">
        <v>12244910</v>
      </c>
      <c r="C12">
        <v>12244905</v>
      </c>
      <c r="D12">
        <v>6391439</v>
      </c>
      <c r="E12">
        <v>1</v>
      </c>
      <c r="F12">
        <v>1</v>
      </c>
      <c r="G12">
        <v>5065699</v>
      </c>
      <c r="H12">
        <v>3</v>
      </c>
      <c r="I12" t="s">
        <v>61</v>
      </c>
      <c r="J12" t="s">
        <v>63</v>
      </c>
      <c r="K12" t="s">
        <v>62</v>
      </c>
      <c r="L12">
        <v>1348</v>
      </c>
      <c r="N12">
        <v>1009</v>
      </c>
      <c r="O12" t="s">
        <v>54</v>
      </c>
      <c r="P12" t="s">
        <v>54</v>
      </c>
      <c r="Q12">
        <v>1000</v>
      </c>
      <c r="Y12">
        <v>0.063</v>
      </c>
      <c r="AA12">
        <v>36010.14</v>
      </c>
      <c r="AB12">
        <v>0</v>
      </c>
      <c r="AC12">
        <v>0</v>
      </c>
      <c r="AD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T12">
        <v>0.063</v>
      </c>
      <c r="AV12">
        <v>0</v>
      </c>
      <c r="AW12">
        <v>1</v>
      </c>
      <c r="AX12">
        <v>-1</v>
      </c>
      <c r="AY12">
        <v>0</v>
      </c>
      <c r="AZ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B12">
        <v>0</v>
      </c>
    </row>
    <row r="13" spans="1:80" ht="12.75">
      <c r="A13">
        <f>ROW(Source!A29)</f>
        <v>29</v>
      </c>
      <c r="B13">
        <v>12244916</v>
      </c>
      <c r="C13">
        <v>12244905</v>
      </c>
      <c r="D13">
        <v>5072095</v>
      </c>
      <c r="E13">
        <v>5065699</v>
      </c>
      <c r="F13">
        <v>1</v>
      </c>
      <c r="G13">
        <v>5065699</v>
      </c>
      <c r="H13">
        <v>3</v>
      </c>
      <c r="I13" t="s">
        <v>57</v>
      </c>
      <c r="K13" t="s">
        <v>58</v>
      </c>
      <c r="L13">
        <v>1346</v>
      </c>
      <c r="N13">
        <v>1009</v>
      </c>
      <c r="O13" t="s">
        <v>59</v>
      </c>
      <c r="P13" t="s">
        <v>59</v>
      </c>
      <c r="Q13">
        <v>1</v>
      </c>
      <c r="Y13">
        <v>0.6762</v>
      </c>
      <c r="AA13">
        <v>34.0468</v>
      </c>
      <c r="AB13">
        <v>0</v>
      </c>
      <c r="AC13">
        <v>0</v>
      </c>
      <c r="AD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T13">
        <v>0.6762</v>
      </c>
      <c r="AV13">
        <v>0</v>
      </c>
      <c r="AW13">
        <v>1</v>
      </c>
      <c r="AX13">
        <v>-1</v>
      </c>
      <c r="AY13">
        <v>0</v>
      </c>
      <c r="AZ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B13">
        <v>0</v>
      </c>
    </row>
    <row r="14" spans="1:80" ht="12.75">
      <c r="A14">
        <f>ROW(Source!A33)</f>
        <v>33</v>
      </c>
      <c r="B14">
        <v>14495918</v>
      </c>
      <c r="C14">
        <v>14495917</v>
      </c>
      <c r="D14">
        <v>5065702</v>
      </c>
      <c r="E14">
        <v>5065699</v>
      </c>
      <c r="F14">
        <v>1</v>
      </c>
      <c r="G14">
        <v>5065699</v>
      </c>
      <c r="H14">
        <v>1</v>
      </c>
      <c r="I14" t="s">
        <v>102</v>
      </c>
      <c r="K14" t="s">
        <v>103</v>
      </c>
      <c r="L14">
        <v>1191</v>
      </c>
      <c r="N14">
        <v>1013</v>
      </c>
      <c r="O14" t="s">
        <v>104</v>
      </c>
      <c r="P14" t="s">
        <v>104</v>
      </c>
      <c r="Q14">
        <v>1</v>
      </c>
      <c r="Y14">
        <v>87.17</v>
      </c>
      <c r="AA14">
        <v>0</v>
      </c>
      <c r="AB14">
        <v>0</v>
      </c>
      <c r="AC14">
        <v>0</v>
      </c>
      <c r="AD14">
        <v>0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75.8</v>
      </c>
      <c r="AU14" t="s">
        <v>39</v>
      </c>
      <c r="AV14">
        <v>1</v>
      </c>
      <c r="AW14">
        <v>2</v>
      </c>
      <c r="AX14">
        <v>14495918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B14">
        <v>0</v>
      </c>
    </row>
    <row r="15" spans="1:80" ht="12.75">
      <c r="A15">
        <f>ROW(Source!A33)</f>
        <v>33</v>
      </c>
      <c r="B15">
        <v>14495919</v>
      </c>
      <c r="C15">
        <v>14495917</v>
      </c>
      <c r="D15">
        <v>5067815</v>
      </c>
      <c r="E15">
        <v>5065699</v>
      </c>
      <c r="F15">
        <v>1</v>
      </c>
      <c r="G15">
        <v>5065699</v>
      </c>
      <c r="H15">
        <v>2</v>
      </c>
      <c r="I15" t="s">
        <v>110</v>
      </c>
      <c r="K15" t="s">
        <v>111</v>
      </c>
      <c r="L15">
        <v>1344</v>
      </c>
      <c r="N15">
        <v>1008</v>
      </c>
      <c r="O15" t="s">
        <v>112</v>
      </c>
      <c r="P15" t="s">
        <v>112</v>
      </c>
      <c r="Q15">
        <v>1</v>
      </c>
      <c r="Y15">
        <v>25.125</v>
      </c>
      <c r="AA15">
        <v>0</v>
      </c>
      <c r="AB15">
        <v>1</v>
      </c>
      <c r="AC15">
        <v>0</v>
      </c>
      <c r="AD15">
        <v>0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20.1</v>
      </c>
      <c r="AU15" t="s">
        <v>38</v>
      </c>
      <c r="AV15">
        <v>0</v>
      </c>
      <c r="AW15">
        <v>2</v>
      </c>
      <c r="AX15">
        <v>14495919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B15">
        <v>0</v>
      </c>
    </row>
    <row r="16" spans="1:80" ht="12.75">
      <c r="A16">
        <f>ROW(Source!A33)</f>
        <v>33</v>
      </c>
      <c r="B16">
        <v>14495920</v>
      </c>
      <c r="C16">
        <v>14495917</v>
      </c>
      <c r="D16">
        <v>5140047</v>
      </c>
      <c r="E16">
        <v>1</v>
      </c>
      <c r="F16">
        <v>1</v>
      </c>
      <c r="G16">
        <v>5065699</v>
      </c>
      <c r="H16">
        <v>3</v>
      </c>
      <c r="I16" t="s">
        <v>114</v>
      </c>
      <c r="J16" t="s">
        <v>115</v>
      </c>
      <c r="K16" t="s">
        <v>116</v>
      </c>
      <c r="L16">
        <v>1339</v>
      </c>
      <c r="N16">
        <v>1007</v>
      </c>
      <c r="O16" t="s">
        <v>32</v>
      </c>
      <c r="P16" t="s">
        <v>32</v>
      </c>
      <c r="Q16">
        <v>1</v>
      </c>
      <c r="Y16">
        <v>0.008</v>
      </c>
      <c r="AA16">
        <v>1828.56</v>
      </c>
      <c r="AB16">
        <v>0</v>
      </c>
      <c r="AC16">
        <v>0</v>
      </c>
      <c r="AD16">
        <v>0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0.008</v>
      </c>
      <c r="AV16">
        <v>0</v>
      </c>
      <c r="AW16">
        <v>2</v>
      </c>
      <c r="AX16">
        <v>14495920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B16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ROW(Source!A24)</f>
        <v>24</v>
      </c>
      <c r="B1">
        <v>12244890</v>
      </c>
      <c r="C1">
        <v>12244889</v>
      </c>
      <c r="D1">
        <v>5065702</v>
      </c>
      <c r="E1">
        <v>5065699</v>
      </c>
      <c r="F1">
        <v>1</v>
      </c>
      <c r="G1">
        <v>5065699</v>
      </c>
      <c r="H1">
        <v>1</v>
      </c>
      <c r="I1" t="s">
        <v>102</v>
      </c>
      <c r="K1" t="s">
        <v>103</v>
      </c>
      <c r="L1">
        <v>1191</v>
      </c>
      <c r="N1">
        <v>1013</v>
      </c>
      <c r="O1" t="s">
        <v>104</v>
      </c>
      <c r="P1" t="s">
        <v>104</v>
      </c>
      <c r="Q1">
        <v>1</v>
      </c>
      <c r="X1">
        <v>0.6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G1">
        <v>0.6</v>
      </c>
      <c r="AH1">
        <v>2</v>
      </c>
      <c r="AI1">
        <v>12244890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ROW(Source!A25)</f>
        <v>25</v>
      </c>
      <c r="B2">
        <v>12244892</v>
      </c>
      <c r="C2">
        <v>12244891</v>
      </c>
      <c r="D2">
        <v>5065702</v>
      </c>
      <c r="E2">
        <v>5065699</v>
      </c>
      <c r="F2">
        <v>1</v>
      </c>
      <c r="G2">
        <v>5065699</v>
      </c>
      <c r="H2">
        <v>1</v>
      </c>
      <c r="I2" t="s">
        <v>102</v>
      </c>
      <c r="K2" t="s">
        <v>103</v>
      </c>
      <c r="L2">
        <v>1191</v>
      </c>
      <c r="N2">
        <v>1013</v>
      </c>
      <c r="O2" t="s">
        <v>104</v>
      </c>
      <c r="P2" t="s">
        <v>104</v>
      </c>
      <c r="Q2">
        <v>1</v>
      </c>
      <c r="X2">
        <v>226.6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1</v>
      </c>
      <c r="AG2">
        <v>226.6</v>
      </c>
      <c r="AH2">
        <v>2</v>
      </c>
      <c r="AI2">
        <v>12244892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ROW(Source!A25)</f>
        <v>25</v>
      </c>
      <c r="B3">
        <v>12244894</v>
      </c>
      <c r="C3">
        <v>12244891</v>
      </c>
      <c r="D3">
        <v>5090575</v>
      </c>
      <c r="E3">
        <v>5065699</v>
      </c>
      <c r="F3">
        <v>1</v>
      </c>
      <c r="G3">
        <v>5065699</v>
      </c>
      <c r="H3">
        <v>3</v>
      </c>
      <c r="I3" t="s">
        <v>105</v>
      </c>
      <c r="K3" t="s">
        <v>106</v>
      </c>
      <c r="L3">
        <v>1348</v>
      </c>
      <c r="N3">
        <v>1009</v>
      </c>
      <c r="O3" t="s">
        <v>54</v>
      </c>
      <c r="P3" t="s">
        <v>54</v>
      </c>
      <c r="Q3">
        <v>1000</v>
      </c>
      <c r="X3">
        <v>3.38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0</v>
      </c>
      <c r="AG3">
        <v>3.38</v>
      </c>
      <c r="AH3">
        <v>2</v>
      </c>
      <c r="AI3">
        <v>12244894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ROW(Source!A25)</f>
        <v>25</v>
      </c>
      <c r="B4">
        <v>12244893</v>
      </c>
      <c r="C4">
        <v>12244891</v>
      </c>
      <c r="D4">
        <v>5086619</v>
      </c>
      <c r="E4">
        <v>5065699</v>
      </c>
      <c r="F4">
        <v>1</v>
      </c>
      <c r="G4">
        <v>5065699</v>
      </c>
      <c r="H4">
        <v>3</v>
      </c>
      <c r="I4" t="s">
        <v>117</v>
      </c>
      <c r="K4" t="s">
        <v>118</v>
      </c>
      <c r="L4">
        <v>1339</v>
      </c>
      <c r="N4">
        <v>1007</v>
      </c>
      <c r="O4" t="s">
        <v>32</v>
      </c>
      <c r="P4" t="s">
        <v>32</v>
      </c>
      <c r="Q4">
        <v>1</v>
      </c>
      <c r="X4">
        <v>2.2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G4">
        <v>2.2</v>
      </c>
      <c r="AH4">
        <v>3</v>
      </c>
      <c r="AI4">
        <v>-1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ROW(Source!A27)</f>
        <v>27</v>
      </c>
      <c r="B5">
        <v>12244899</v>
      </c>
      <c r="C5">
        <v>12244898</v>
      </c>
      <c r="D5">
        <v>5065702</v>
      </c>
      <c r="E5">
        <v>5065699</v>
      </c>
      <c r="F5">
        <v>1</v>
      </c>
      <c r="G5">
        <v>5065699</v>
      </c>
      <c r="H5">
        <v>1</v>
      </c>
      <c r="I5" t="s">
        <v>102</v>
      </c>
      <c r="K5" t="s">
        <v>103</v>
      </c>
      <c r="L5">
        <v>1191</v>
      </c>
      <c r="N5">
        <v>1013</v>
      </c>
      <c r="O5" t="s">
        <v>104</v>
      </c>
      <c r="P5" t="s">
        <v>104</v>
      </c>
      <c r="Q5">
        <v>1</v>
      </c>
      <c r="X5">
        <v>15.7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1</v>
      </c>
      <c r="AF5" t="s">
        <v>39</v>
      </c>
      <c r="AG5">
        <v>18.055</v>
      </c>
      <c r="AH5">
        <v>2</v>
      </c>
      <c r="AI5">
        <v>12244899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ROW(Source!A27)</f>
        <v>27</v>
      </c>
      <c r="B6">
        <v>12244900</v>
      </c>
      <c r="C6">
        <v>12244898</v>
      </c>
      <c r="D6">
        <v>5140005</v>
      </c>
      <c r="E6">
        <v>1</v>
      </c>
      <c r="F6">
        <v>1</v>
      </c>
      <c r="G6">
        <v>5065699</v>
      </c>
      <c r="H6">
        <v>3</v>
      </c>
      <c r="I6" t="s">
        <v>107</v>
      </c>
      <c r="J6" t="s">
        <v>108</v>
      </c>
      <c r="K6" t="s">
        <v>109</v>
      </c>
      <c r="L6">
        <v>1348</v>
      </c>
      <c r="N6">
        <v>1009</v>
      </c>
      <c r="O6" t="s">
        <v>54</v>
      </c>
      <c r="P6" t="s">
        <v>54</v>
      </c>
      <c r="Q6">
        <v>1000</v>
      </c>
      <c r="X6">
        <v>0.024</v>
      </c>
      <c r="Y6">
        <v>39052.85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G6">
        <v>0.024</v>
      </c>
      <c r="AH6">
        <v>2</v>
      </c>
      <c r="AI6">
        <v>12244900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ROW(Source!A27)</f>
        <v>27</v>
      </c>
      <c r="B7">
        <v>12244901</v>
      </c>
      <c r="C7">
        <v>12244898</v>
      </c>
      <c r="D7">
        <v>5090255</v>
      </c>
      <c r="E7">
        <v>5065699</v>
      </c>
      <c r="F7">
        <v>1</v>
      </c>
      <c r="G7">
        <v>5065699</v>
      </c>
      <c r="H7">
        <v>3</v>
      </c>
      <c r="I7" t="s">
        <v>119</v>
      </c>
      <c r="K7" t="s">
        <v>120</v>
      </c>
      <c r="L7">
        <v>1327</v>
      </c>
      <c r="N7">
        <v>1005</v>
      </c>
      <c r="O7" t="s">
        <v>17</v>
      </c>
      <c r="P7" t="s">
        <v>17</v>
      </c>
      <c r="Q7">
        <v>1</v>
      </c>
      <c r="X7">
        <v>105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G7">
        <v>105</v>
      </c>
      <c r="AH7">
        <v>3</v>
      </c>
      <c r="AI7">
        <v>-1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ROW(Source!A29)</f>
        <v>29</v>
      </c>
      <c r="B8">
        <v>12244906</v>
      </c>
      <c r="C8">
        <v>12244905</v>
      </c>
      <c r="D8">
        <v>5065702</v>
      </c>
      <c r="E8">
        <v>5065699</v>
      </c>
      <c r="F8">
        <v>1</v>
      </c>
      <c r="G8">
        <v>5065699</v>
      </c>
      <c r="H8">
        <v>1</v>
      </c>
      <c r="I8" t="s">
        <v>102</v>
      </c>
      <c r="K8" t="s">
        <v>103</v>
      </c>
      <c r="L8">
        <v>1191</v>
      </c>
      <c r="N8">
        <v>1013</v>
      </c>
      <c r="O8" t="s">
        <v>104</v>
      </c>
      <c r="P8" t="s">
        <v>104</v>
      </c>
      <c r="Q8">
        <v>1</v>
      </c>
      <c r="X8">
        <v>39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1</v>
      </c>
      <c r="AF8" t="s">
        <v>39</v>
      </c>
      <c r="AG8">
        <v>44.85</v>
      </c>
      <c r="AH8">
        <v>2</v>
      </c>
      <c r="AI8">
        <v>12244906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ROW(Source!A29)</f>
        <v>29</v>
      </c>
      <c r="B9">
        <v>12244907</v>
      </c>
      <c r="C9">
        <v>12244905</v>
      </c>
      <c r="D9">
        <v>5067815</v>
      </c>
      <c r="E9">
        <v>5065699</v>
      </c>
      <c r="F9">
        <v>1</v>
      </c>
      <c r="G9">
        <v>5065699</v>
      </c>
      <c r="H9">
        <v>2</v>
      </c>
      <c r="I9" t="s">
        <v>110</v>
      </c>
      <c r="K9" t="s">
        <v>111</v>
      </c>
      <c r="L9">
        <v>1344</v>
      </c>
      <c r="N9">
        <v>1008</v>
      </c>
      <c r="O9" t="s">
        <v>112</v>
      </c>
      <c r="P9" t="s">
        <v>112</v>
      </c>
      <c r="Q9">
        <v>1</v>
      </c>
      <c r="X9">
        <v>29.03</v>
      </c>
      <c r="Y9">
        <v>0</v>
      </c>
      <c r="Z9">
        <v>1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38</v>
      </c>
      <c r="AG9">
        <v>36.2875</v>
      </c>
      <c r="AH9">
        <v>2</v>
      </c>
      <c r="AI9">
        <v>12244907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ROW(Source!A29)</f>
        <v>29</v>
      </c>
      <c r="B10">
        <v>12244911</v>
      </c>
      <c r="C10">
        <v>12244905</v>
      </c>
      <c r="D10">
        <v>5090580</v>
      </c>
      <c r="E10">
        <v>5065699</v>
      </c>
      <c r="F10">
        <v>1</v>
      </c>
      <c r="G10">
        <v>5065699</v>
      </c>
      <c r="H10">
        <v>3</v>
      </c>
      <c r="I10" t="s">
        <v>105</v>
      </c>
      <c r="K10" t="s">
        <v>113</v>
      </c>
      <c r="L10">
        <v>1344</v>
      </c>
      <c r="N10">
        <v>1008</v>
      </c>
      <c r="O10" t="s">
        <v>112</v>
      </c>
      <c r="P10" t="s">
        <v>112</v>
      </c>
      <c r="Q10">
        <v>1</v>
      </c>
      <c r="X10">
        <v>6.09</v>
      </c>
      <c r="Y10">
        <v>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G10">
        <v>6.09</v>
      </c>
      <c r="AH10">
        <v>2</v>
      </c>
      <c r="AI10">
        <v>12244911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ROW(Source!A29)</f>
        <v>29</v>
      </c>
      <c r="B11">
        <v>12244908</v>
      </c>
      <c r="C11">
        <v>12244905</v>
      </c>
      <c r="D11">
        <v>5071892</v>
      </c>
      <c r="E11">
        <v>5065699</v>
      </c>
      <c r="F11">
        <v>1</v>
      </c>
      <c r="G11">
        <v>5065699</v>
      </c>
      <c r="H11">
        <v>3</v>
      </c>
      <c r="I11" t="s">
        <v>121</v>
      </c>
      <c r="K11" t="s">
        <v>122</v>
      </c>
      <c r="L11">
        <v>1348</v>
      </c>
      <c r="N11">
        <v>1009</v>
      </c>
      <c r="O11" t="s">
        <v>54</v>
      </c>
      <c r="P11" t="s">
        <v>54</v>
      </c>
      <c r="Q11">
        <v>1000</v>
      </c>
      <c r="X11">
        <v>0.051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G11">
        <v>0.051</v>
      </c>
      <c r="AH11">
        <v>3</v>
      </c>
      <c r="AI11">
        <v>-1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ROW(Source!A29)</f>
        <v>29</v>
      </c>
      <c r="B12">
        <v>12244909</v>
      </c>
      <c r="C12">
        <v>12244905</v>
      </c>
      <c r="D12">
        <v>5072091</v>
      </c>
      <c r="E12">
        <v>5065699</v>
      </c>
      <c r="F12">
        <v>1</v>
      </c>
      <c r="G12">
        <v>5065699</v>
      </c>
      <c r="H12">
        <v>3</v>
      </c>
      <c r="I12" t="s">
        <v>123</v>
      </c>
      <c r="K12" t="s">
        <v>124</v>
      </c>
      <c r="L12">
        <v>1346</v>
      </c>
      <c r="N12">
        <v>1009</v>
      </c>
      <c r="O12" t="s">
        <v>59</v>
      </c>
      <c r="P12" t="s">
        <v>59</v>
      </c>
      <c r="Q12">
        <v>1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G12">
        <v>0</v>
      </c>
      <c r="AH12">
        <v>3</v>
      </c>
      <c r="AI12">
        <v>-1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ROW(Source!A29)</f>
        <v>29</v>
      </c>
      <c r="B13">
        <v>12244910</v>
      </c>
      <c r="C13">
        <v>12244905</v>
      </c>
      <c r="D13">
        <v>5072198</v>
      </c>
      <c r="E13">
        <v>5065699</v>
      </c>
      <c r="F13">
        <v>1</v>
      </c>
      <c r="G13">
        <v>5065699</v>
      </c>
      <c r="H13">
        <v>3</v>
      </c>
      <c r="I13" t="s">
        <v>125</v>
      </c>
      <c r="K13" t="s">
        <v>126</v>
      </c>
      <c r="L13">
        <v>1348</v>
      </c>
      <c r="N13">
        <v>1009</v>
      </c>
      <c r="O13" t="s">
        <v>54</v>
      </c>
      <c r="P13" t="s">
        <v>54</v>
      </c>
      <c r="Q13">
        <v>1000</v>
      </c>
      <c r="X13">
        <v>0.063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G13">
        <v>0.063</v>
      </c>
      <c r="AH13">
        <v>3</v>
      </c>
      <c r="AI13">
        <v>-1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ROW(Source!A33)</f>
        <v>33</v>
      </c>
      <c r="B14">
        <v>14495918</v>
      </c>
      <c r="C14">
        <v>14495917</v>
      </c>
      <c r="D14">
        <v>5065702</v>
      </c>
      <c r="E14">
        <v>5065699</v>
      </c>
      <c r="F14">
        <v>1</v>
      </c>
      <c r="G14">
        <v>5065699</v>
      </c>
      <c r="H14">
        <v>1</v>
      </c>
      <c r="I14" t="s">
        <v>102</v>
      </c>
      <c r="K14" t="s">
        <v>103</v>
      </c>
      <c r="L14">
        <v>1191</v>
      </c>
      <c r="N14">
        <v>1013</v>
      </c>
      <c r="O14" t="s">
        <v>104</v>
      </c>
      <c r="P14" t="s">
        <v>104</v>
      </c>
      <c r="Q14">
        <v>1</v>
      </c>
      <c r="X14">
        <v>75.8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1</v>
      </c>
      <c r="AF14" t="s">
        <v>39</v>
      </c>
      <c r="AG14">
        <v>87.17</v>
      </c>
      <c r="AH14">
        <v>2</v>
      </c>
      <c r="AI14">
        <v>14495918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ROW(Source!A33)</f>
        <v>33</v>
      </c>
      <c r="B15">
        <v>14495919</v>
      </c>
      <c r="C15">
        <v>14495917</v>
      </c>
      <c r="D15">
        <v>5067815</v>
      </c>
      <c r="E15">
        <v>5065699</v>
      </c>
      <c r="F15">
        <v>1</v>
      </c>
      <c r="G15">
        <v>5065699</v>
      </c>
      <c r="H15">
        <v>2</v>
      </c>
      <c r="I15" t="s">
        <v>110</v>
      </c>
      <c r="K15" t="s">
        <v>111</v>
      </c>
      <c r="L15">
        <v>1344</v>
      </c>
      <c r="N15">
        <v>1008</v>
      </c>
      <c r="O15" t="s">
        <v>112</v>
      </c>
      <c r="P15" t="s">
        <v>112</v>
      </c>
      <c r="Q15">
        <v>1</v>
      </c>
      <c r="X15">
        <v>20.1</v>
      </c>
      <c r="Y15">
        <v>0</v>
      </c>
      <c r="Z15">
        <v>1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38</v>
      </c>
      <c r="AG15">
        <v>25.125</v>
      </c>
      <c r="AH15">
        <v>2</v>
      </c>
      <c r="AI15">
        <v>14495919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ROW(Source!A33)</f>
        <v>33</v>
      </c>
      <c r="B16">
        <v>14495920</v>
      </c>
      <c r="C16">
        <v>14495917</v>
      </c>
      <c r="D16">
        <v>5140047</v>
      </c>
      <c r="E16">
        <v>1</v>
      </c>
      <c r="F16">
        <v>1</v>
      </c>
      <c r="G16">
        <v>5065699</v>
      </c>
      <c r="H16">
        <v>3</v>
      </c>
      <c r="I16" t="s">
        <v>114</v>
      </c>
      <c r="J16" t="s">
        <v>115</v>
      </c>
      <c r="K16" t="s">
        <v>116</v>
      </c>
      <c r="L16">
        <v>1339</v>
      </c>
      <c r="N16">
        <v>1007</v>
      </c>
      <c r="O16" t="s">
        <v>32</v>
      </c>
      <c r="P16" t="s">
        <v>32</v>
      </c>
      <c r="Q16">
        <v>1</v>
      </c>
      <c r="X16">
        <v>0.008</v>
      </c>
      <c r="Y16">
        <v>1828.56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G16">
        <v>0.008</v>
      </c>
      <c r="AH16">
        <v>2</v>
      </c>
      <c r="AI16">
        <v>14495920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 Алексевич</cp:lastModifiedBy>
  <cp:lastPrinted>2012-06-18T04:35:05Z</cp:lastPrinted>
  <dcterms:created xsi:type="dcterms:W3CDTF">2012-05-16T07:00:44Z</dcterms:created>
  <dcterms:modified xsi:type="dcterms:W3CDTF">2012-06-18T04:35:08Z</dcterms:modified>
  <cp:category/>
  <cp:version/>
  <cp:contentType/>
  <cp:contentStatus/>
</cp:coreProperties>
</file>