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" windowHeight="1440" activeTab="1"/>
  </bookViews>
  <sheets>
    <sheet name="Дефектная ведомость" sheetId="1" r:id="rId1"/>
    <sheet name="Смета по ТСН-2001" sheetId="2" r:id="rId2"/>
    <sheet name="Source" sheetId="3" r:id="rId3"/>
    <sheet name="SmtRes" sheetId="4" r:id="rId4"/>
    <sheet name="EtalonRes" sheetId="5" r:id="rId5"/>
    <sheet name="ClcRes" sheetId="6" r:id="rId6"/>
  </sheets>
  <definedNames>
    <definedName name="_xlnm.Print_Titles" localSheetId="0">'Дефектная ведомость'!$19:$19</definedName>
    <definedName name="_xlnm.Print_Titles" localSheetId="1">'Смета по ТСН-2001'!$31:$31</definedName>
    <definedName name="_xlnm.Print_Area" localSheetId="1">'Смета по ТСН-2001'!$A$1:$K$141</definedName>
  </definedNames>
  <calcPr fullCalcOnLoad="1"/>
</workbook>
</file>

<file path=xl/sharedStrings.xml><?xml version="1.0" encoding="utf-8"?>
<sst xmlns="http://schemas.openxmlformats.org/spreadsheetml/2006/main" count="1174" uniqueCount="245">
  <si>
    <t>Smeta.ru  (495) 974-1589</t>
  </si>
  <si>
    <t>_PS_</t>
  </si>
  <si>
    <t>Smeta.ru</t>
  </si>
  <si>
    <t/>
  </si>
  <si>
    <t>Новый объект</t>
  </si>
  <si>
    <t>Монтаж противодымной двери</t>
  </si>
  <si>
    <t>ТСН-2001 ремонт</t>
  </si>
  <si>
    <t>Сметные нормы списания</t>
  </si>
  <si>
    <t>Коды ОКП для ТСН-2001</t>
  </si>
  <si>
    <t>ТСН 2001- Ремонт</t>
  </si>
  <si>
    <t>Типовой расчет для ТСН-2001 Доп 26 (Ремонт)</t>
  </si>
  <si>
    <t>ТСН-2001</t>
  </si>
  <si>
    <t>Поправки для ТСН-2001</t>
  </si>
  <si>
    <t>Новая локальная смета</t>
  </si>
  <si>
    <t>{4AEC7550-A5F3-4263-B8A8-18CAFEA67580}</t>
  </si>
  <si>
    <t>1</t>
  </si>
  <si>
    <t>6.56-38-3</t>
  </si>
  <si>
    <t>РАЗБОРКА ДЕРЕВЯННЫХ ЗАПОЛНЕНИЙ ПРОЕМОВ ДВЕРНЫХ, ВОРОТНЫХ</t>
  </si>
  <si>
    <t>100 м2</t>
  </si>
  <si>
    <t>ТСН-2001.6. База. Сб.56, т.38, поз.3</t>
  </si>
  <si>
    <t>Ремонтно-строительные работы</t>
  </si>
  <si>
    <t>ТСН-2001.6-56. 56-38</t>
  </si>
  <si>
    <t>ТСН-2001.6-56-10</t>
  </si>
  <si>
    <t>2</t>
  </si>
  <si>
    <t>3.10-81-1</t>
  </si>
  <si>
    <t>УСТАНОВКА ПРОТИВОПОЖАРНЫХ, УСИЛЕННЫХ ДЕРЕВЯННЫХ ДВЕРНЫХ БЛОКОВ, ВХОДНЫХ В КВАРТИРУ</t>
  </si>
  <si>
    <t>ТСН-2001.3. База. Сб.10, т.81, поз.1</t>
  </si>
  <si>
    <t>Строительные работы</t>
  </si>
  <si>
    <t>ТСН-2001.3-10. 10-79...10-81</t>
  </si>
  <si>
    <t>ТСН-2001.3-10-6</t>
  </si>
  <si>
    <t>2,1</t>
  </si>
  <si>
    <t>1.9-7-338</t>
  </si>
  <si>
    <t>БЛОКИ ДВЕРНЫЕ ПРОТИВОПОЖАРНЫЕ, СПЛОШНЫЕ, ОСТЕКЛЕННЫЕ АРМИРОВАННЫМ СТЕКЛОМ, С ОГНЕЗАЩИТНЫМ ПОКРЫТИЕМ, ОКРАШЕННЫЕ ЭМАЛЯМИ, ОДНОПОЛЬНЫЕ, МАРКА ДПШ 21-10, ПЛОЩАДЬ 2,01 М2, СО СКОБЯНЫМИ ПРИБОРАМИ</t>
  </si>
  <si>
    <t>м2</t>
  </si>
  <si>
    <t>ТСН-2001.1. База. Р.9, о.7, поз.338</t>
  </si>
  <si>
    <t>3</t>
  </si>
  <si>
    <t>3.10-78-1</t>
  </si>
  <si>
    <t>УСТАНОВКА ДВЕРНОГО ДОВОДЧИКА К ДВЕРЯМ ИЗ ДРЕВЕСИНЫ</t>
  </si>
  <si>
    <t>прибор</t>
  </si>
  <si>
    <t>ТСН-2001.3. База. Сб.10, т.78, поз.1</t>
  </si>
  <si>
    <t>*1,25</t>
  </si>
  <si>
    <t>*1,15</t>
  </si>
  <si>
    <t>ТСН-2001.3-10. 10-75...10-78</t>
  </si>
  <si>
    <t>ТСН-2001.3-10-5</t>
  </si>
  <si>
    <t>3,1</t>
  </si>
  <si>
    <t>1.8-1-70</t>
  </si>
  <si>
    <t>ДОВОДЧИКИ ДВЕРНЫЕ, МАРКА 'NORA-M' №2S, МАССА ДВЕРИ ДО 50 КГ</t>
  </si>
  <si>
    <t>шт.</t>
  </si>
  <si>
    <t>ТСН-2001.1. База. Р.8, о.1, поз.70</t>
  </si>
  <si>
    <t>4</t>
  </si>
  <si>
    <t>6.61-30-1</t>
  </si>
  <si>
    <t>УСТРОЙСТВО ОСНОВАНИЯ ПОД ШТУКАТУРКУ ИЗ МЕТАЛЛИЧЕСКОЙ СЕТКИ ПО КИРПИЧНЫМ И БЕТОННЫМ ПОВЕРХНОСТЯМ</t>
  </si>
  <si>
    <t>ТСН-2001.6. База. Сб.61, т.30, поз.1</t>
  </si>
  <si>
    <t>ТСН-2001.6-61. 61-29...61-31</t>
  </si>
  <si>
    <t>ТСН-2001.6-61-7</t>
  </si>
  <si>
    <t>4,1</t>
  </si>
  <si>
    <t>1.1-1-1029</t>
  </si>
  <si>
    <t>СЕТКА ПРОВОЛОЧНАЯ ШТУКАТУРНАЯ ТКАНАЯ, КВАДРАТ 5Х5 ММ, ТОЛЩИНА 1,6 ММ</t>
  </si>
  <si>
    <t>ТСН-2001.1. База. Р.1, о.1, поз.1029</t>
  </si>
  <si>
    <t>4,2</t>
  </si>
  <si>
    <t>1.1-1-146</t>
  </si>
  <si>
    <t>ГИПСОВЫЕ ВЯЖУЩИЕ (ГИПС) ДЛЯ ШТУКАТУРНЫХ РАБОТ</t>
  </si>
  <si>
    <t>т</t>
  </si>
  <si>
    <t>ТСН-2001.1. База. Р.1, о.1, поз.146</t>
  </si>
  <si>
    <t>5</t>
  </si>
  <si>
    <t>3.15-57-1</t>
  </si>
  <si>
    <t>ШТУКАТУРКА ПОВЕРХНОСТЕЙ ОКОННЫХ И ДВЕРНЫХ ОТКОСОВ ПО БЕТОНУ И КАМНЮ ПЛОСКИХ</t>
  </si>
  <si>
    <t>ТСН-2001.3. База. Сб.15, т.57, поз.1</t>
  </si>
  <si>
    <t>ТСН-2001.3-15. 15-51...15-81</t>
  </si>
  <si>
    <t>ТСН-2001.3-15-7</t>
  </si>
  <si>
    <t>5,1</t>
  </si>
  <si>
    <t>1.1-1-118</t>
  </si>
  <si>
    <t>ВОДА</t>
  </si>
  <si>
    <t>м3</t>
  </si>
  <si>
    <t>ТСН-2001.1. База. Р.1, о.1, поз.118</t>
  </si>
  <si>
    <t>5,2</t>
  </si>
  <si>
    <t>1.3-2-26</t>
  </si>
  <si>
    <t>СМЕСИ СУХИЕ ШТУКАТУРНЫЕ ЦЕМЕНТНО-ПЕСЧАНЫЕ ДЛЯ ВНУТРЕННИХ И НАРУЖНЫХ РАБОТ, УЛУЧШЕННЫЕ С ИМПОРТНЫМИ ДОБАВКАМИ: В12,5 (М150), F50, КРУПНОСТЬ ЗАПОЛНИТЕЛЯ НЕ БОЛЕЕ 0,5 ММ</t>
  </si>
  <si>
    <t>ТСН-2001.1. Доп.22. Р.3, о.2, поз.26</t>
  </si>
  <si>
    <t>5,3</t>
  </si>
  <si>
    <t>1.3-2-13</t>
  </si>
  <si>
    <t>РАСТВОРЫ ЦЕМЕНТНО-ИЗВЕСТКОВЫЕ, МАРКА 75</t>
  </si>
  <si>
    <t>ТСН-2001.1. Доп.14. Р.3, о.2, поз.13</t>
  </si>
  <si>
    <t>5,4</t>
  </si>
  <si>
    <t>1.3-2-15</t>
  </si>
  <si>
    <t>РАСТВОР ИЗВЕСТКОВЫЙ, МАРКА 4</t>
  </si>
  <si>
    <t>ТСН-2001.1. Доп.14. Р.3, о.2, поз.15</t>
  </si>
  <si>
    <t>6</t>
  </si>
  <si>
    <t>3.15-99-8</t>
  </si>
  <si>
    <t>УЛУЧШЕННАЯ ОКРАСКА КОЛЕРОМ МАСЛЯНЫМ РАЗБЕЛЕННЫМ ОТКОСОВ ПО ШТУКАТУРКЕ</t>
  </si>
  <si>
    <t>ТСН-2001.3. База. Сб.15, т.99, поз.8</t>
  </si>
  <si>
    <t>ТСН-2001.3-15. 15-91-3, 15-91-4, 15-92...15-115</t>
  </si>
  <si>
    <t>ТСН-2001.3-15-9</t>
  </si>
  <si>
    <t>6,1</t>
  </si>
  <si>
    <t>1.1-1-1480</t>
  </si>
  <si>
    <t>ШПАТЛЕВКА КЛЕЕВАЯ</t>
  </si>
  <si>
    <t>ТСН-2001.1. База. Р.1, о.1, поз.1480</t>
  </si>
  <si>
    <t>6,2</t>
  </si>
  <si>
    <t>1.1-1-2182</t>
  </si>
  <si>
    <t>КРАСКИ МАСЛЯНЫЕ ДЛЯ ВНУТРЕННИХ РАБОТ, ГОТОВЫЕ К ПРИМЕНЕНИЮ, МАРКА МА-15 БИО</t>
  </si>
  <si>
    <t>ТСН-2001.1. База. Р.1, о.1, поз.2182</t>
  </si>
  <si>
    <t>6,3</t>
  </si>
  <si>
    <t>1.1-1-733</t>
  </si>
  <si>
    <t>ОЛИФА ДЛЯ ОКРАСКИ НАТУРАЛЬНАЯ</t>
  </si>
  <si>
    <t>кг</t>
  </si>
  <si>
    <t>ТСН-2001.1. База. Р.1, о.1, поз.733</t>
  </si>
  <si>
    <t>7</t>
  </si>
  <si>
    <t>6.69-19-1</t>
  </si>
  <si>
    <t>ПОГРУЗКА И ВЫГРУЗКА ВРУЧНУЮ СТРОИТЕЛЬНОГО МУСОРА НА ТРАНСПОРТНЫЕ СРЕДСТВА</t>
  </si>
  <si>
    <t>ТСН-2001.6. База. Сб.69, т.19, поз.1</t>
  </si>
  <si>
    <t>ТСН-2001.6-69. 69-1...69-49</t>
  </si>
  <si>
    <t>ТСН-2001.6-69-1</t>
  </si>
  <si>
    <t>8</t>
  </si>
  <si>
    <t>15.1-60-5</t>
  </si>
  <si>
    <t>ПЕРЕВОЗКА СТРОИТЕЛЬНОГО МУСОРА НА РАССТОЯНИЕ 60 КМ АВТОСАМОСВАЛАМИ ГРУЗОПОДЪЕМНОСТЬЮ ДО 16 Т, ПЕРЕВОЗКА ДО 60 КМ</t>
  </si>
  <si>
    <t>ТСН-2001.15. База. Сб.1, т.60, поз.5</t>
  </si>
  <si>
    <t>Транспортные затраты</t>
  </si>
  <si>
    <t>ТСН-2001.15-1. Перевозка строительного мусора</t>
  </si>
  <si>
    <t>ТСН-2001.15-1-5</t>
  </si>
  <si>
    <t>ПЗ</t>
  </si>
  <si>
    <t>Прямые затраты</t>
  </si>
  <si>
    <t>СтМат</t>
  </si>
  <si>
    <t>Стоимость материальных ресурсов</t>
  </si>
  <si>
    <t>СтМатЗак</t>
  </si>
  <si>
    <t>Стоимость материалов заказчика</t>
  </si>
  <si>
    <t>Оборуд</t>
  </si>
  <si>
    <t>Стоимость оборудования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</si>
  <si>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</si>
  <si>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</si>
  <si>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</si>
  <si>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</si>
  <si>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</si>
  <si>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</si>
  <si>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</si>
  <si>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</si>
  <si>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</si>
  <si>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</si>
  <si>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</si>
  <si>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</si>
  <si>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</si>
  <si>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</si>
  <si>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</si>
  <si>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</si>
  <si>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</si>
  <si>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</si>
  <si>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</si>
  <si>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по смете</t>
  </si>
  <si>
    <t>ндс</t>
  </si>
  <si>
    <t>НДС 18%</t>
  </si>
  <si>
    <t>итого</t>
  </si>
  <si>
    <t>Итого с НДС</t>
  </si>
  <si>
    <t>пониж. 0,9</t>
  </si>
  <si>
    <t>Применение понижающего коэффициента 0,9</t>
  </si>
  <si>
    <t>ресурс учтен</t>
  </si>
  <si>
    <t>5361110000</t>
  </si>
  <si>
    <t>БЛОКИ ДВЕРНЫЕ ПРОТИВОПОЖАРНЫЕ</t>
  </si>
  <si>
    <t>4987110000</t>
  </si>
  <si>
    <t>ДОВОДЧИК ДВЕРНОЙ</t>
  </si>
  <si>
    <t>1275100000</t>
  </si>
  <si>
    <t>СЕТКА ПРОВОЛОЧНАЯ ТКАНАЯ С КВАДРАТНЫМИ ЯЧЕЙКАМИ №05 БЕЗ ПОКРЫТИЯ</t>
  </si>
  <si>
    <t>5744310000</t>
  </si>
  <si>
    <t>ГИПС СТРОИТЕЛЬНЫЙ</t>
  </si>
  <si>
    <t>0131000000</t>
  </si>
  <si>
    <t>5745120000</t>
  </si>
  <si>
    <t>СМЕСИ СУХИЕ ДЛЯ ШТУКАТУРНЫХ РАБОТ</t>
  </si>
  <si>
    <t>5745520000</t>
  </si>
  <si>
    <t>РАСТВОРЫ ТЯЖЕЛЫЕ ЦЕМЕНТНО-ИЗВЕСТКОВЫЕ МАРКИ 75</t>
  </si>
  <si>
    <t>РАСТВОРЫ ИЗВЕСТКОВЫЕ МАРКИ 4</t>
  </si>
  <si>
    <t>2312940000</t>
  </si>
  <si>
    <t>ШПАТЛЕВКА УНИВЕРСАЛЬНАЯ</t>
  </si>
  <si>
    <t>2317220000</t>
  </si>
  <si>
    <t>КРАСКИ МАСЛЯНЫЕ (ГОТОВЫЕ К УПОТРЕБЛЕНИЮ)</t>
  </si>
  <si>
    <t>2318320000</t>
  </si>
  <si>
    <t>ОЛИФА НАТУРАЛЬНАЯ</t>
  </si>
  <si>
    <t>Форма № 1</t>
  </si>
  <si>
    <t>"СОГЛАСОВАНО"</t>
  </si>
  <si>
    <t>"УТВЕРЖДАЮ"</t>
  </si>
  <si>
    <t>(Наименование стройки)</t>
  </si>
  <si>
    <t xml:space="preserve">ЛОКАЛЬНАЯ СМЕТА №  </t>
  </si>
  <si>
    <t>(локальный сметный расчет)</t>
  </si>
  <si>
    <t xml:space="preserve">  на</t>
  </si>
  <si>
    <t>(наименование работ и затрат, наименование объекта)</t>
  </si>
  <si>
    <t>Сметная стоимость</t>
  </si>
  <si>
    <t>тыс.руб</t>
  </si>
  <si>
    <t>Средства на оплату труда</t>
  </si>
  <si>
    <t>Составлен(а) в уровне текущих (прогнозных) цен на</t>
  </si>
  <si>
    <t>г.</t>
  </si>
  <si>
    <t>№</t>
  </si>
  <si>
    <t>п/п</t>
  </si>
  <si>
    <t>Шифр</t>
  </si>
  <si>
    <t>расценки</t>
  </si>
  <si>
    <t>и коды</t>
  </si>
  <si>
    <t>ресурсов</t>
  </si>
  <si>
    <t>Наименование работ и затрат</t>
  </si>
  <si>
    <t>Единица</t>
  </si>
  <si>
    <t>изме-</t>
  </si>
  <si>
    <t>рения</t>
  </si>
  <si>
    <t>Кол-во</t>
  </si>
  <si>
    <t>единиц</t>
  </si>
  <si>
    <t>Цена</t>
  </si>
  <si>
    <t>на ед.</t>
  </si>
  <si>
    <t>изм.</t>
  </si>
  <si>
    <t>руб.</t>
  </si>
  <si>
    <t>Коэффициенты</t>
  </si>
  <si>
    <t>попра-</t>
  </si>
  <si>
    <t>вочные</t>
  </si>
  <si>
    <t>зимних</t>
  </si>
  <si>
    <t>удоро-</t>
  </si>
  <si>
    <t>жаний</t>
  </si>
  <si>
    <t>перес-</t>
  </si>
  <si>
    <t>чета</t>
  </si>
  <si>
    <t>ВСЕГО</t>
  </si>
  <si>
    <t>затрат,</t>
  </si>
  <si>
    <t>Справочно</t>
  </si>
  <si>
    <t>ЗТР, всего</t>
  </si>
  <si>
    <t>чел.-час</t>
  </si>
  <si>
    <t>Ст-ть ед.</t>
  </si>
  <si>
    <t>с начислен.</t>
  </si>
  <si>
    <t>ЗП</t>
  </si>
  <si>
    <t>ЭМ</t>
  </si>
  <si>
    <t>в т.ч. ЗПМ</t>
  </si>
  <si>
    <t>МР</t>
  </si>
  <si>
    <t>НР от ЗП</t>
  </si>
  <si>
    <t>%</t>
  </si>
  <si>
    <t>СП от ЗП</t>
  </si>
  <si>
    <t>НР и СП от ЗПМ</t>
  </si>
  <si>
    <t>ЗТР</t>
  </si>
  <si>
    <t>чел-ч</t>
  </si>
  <si>
    <t>Итого</t>
  </si>
  <si>
    <t>Итого по объекту</t>
  </si>
  <si>
    <t>Составил</t>
  </si>
  <si>
    <t>[должность,подпись(инициалы,фамилия)]</t>
  </si>
  <si>
    <t>Проверил:</t>
  </si>
  <si>
    <t>______________________________</t>
  </si>
  <si>
    <t>" ___ " ___________ 20 ___ г.</t>
  </si>
  <si>
    <t>Дефектный акт</t>
  </si>
  <si>
    <t xml:space="preserve">Мы, нижеподписавшиеся, произвели осмотр объекта </t>
  </si>
  <si>
    <t xml:space="preserve">и постановили произвести ремонт объекта в </t>
  </si>
  <si>
    <t>следующем объеме:</t>
  </si>
  <si>
    <t>измерен.</t>
  </si>
  <si>
    <t>Коли-</t>
  </si>
  <si>
    <t>чество</t>
  </si>
  <si>
    <t>Подписи членов комиссии:</t>
  </si>
  <si>
    <t>"_____"________________2013___ г.</t>
  </si>
  <si>
    <t>Итого с учетом снижения 3,5%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</si>
</sst>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.00;[Red]\-\ #,##0.00"/>
    <numFmt numFmtId="173" formatCode="mmmm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u val="single"/>
      <sz val="14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b/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9" fillId="0" borderId="0" xfId="0" applyFont="1" applyAlignment="1">
      <alignment horizontal="left" wrapText="1"/>
    </xf>
    <xf numFmtId="172" fontId="9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72" fontId="9" fillId="0" borderId="0" xfId="0" applyNumberFormat="1" applyFont="1" applyAlignment="1">
      <alignment horizontal="righ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top" shrinkToFit="1"/>
    </xf>
    <xf numFmtId="0" fontId="21" fillId="0" borderId="12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shrinkToFit="1"/>
    </xf>
    <xf numFmtId="0" fontId="21" fillId="0" borderId="13" xfId="0" applyFont="1" applyBorder="1" applyAlignment="1">
      <alignment horizontal="center" vertical="top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72" fontId="1" fillId="0" borderId="0" xfId="0" applyNumberFormat="1" applyFont="1" applyAlignment="1">
      <alignment horizontal="right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172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72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72" fontId="1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3">
      <selection activeCell="B11" sqref="B11"/>
    </sheetView>
  </sheetViews>
  <sheetFormatPr defaultColWidth="9.140625" defaultRowHeight="12.75"/>
  <cols>
    <col min="1" max="1" width="5.7109375" style="0" customWidth="1"/>
    <col min="2" max="2" width="90.7109375" style="0" customWidth="1"/>
    <col min="3" max="4" width="18.7109375" style="0" customWidth="1"/>
  </cols>
  <sheetData>
    <row r="1" spans="1:4" ht="12.75">
      <c r="A1" s="53" t="str">
        <f>Source!B1</f>
        <v>Smeta.ru  (495) 974-1589</v>
      </c>
      <c r="B1" s="54"/>
      <c r="C1" s="54"/>
      <c r="D1" s="54"/>
    </row>
    <row r="3" spans="3:4" ht="18.75">
      <c r="C3" s="34" t="s">
        <v>176</v>
      </c>
      <c r="D3" s="34"/>
    </row>
    <row r="4" spans="3:4" ht="18.75">
      <c r="C4" s="34"/>
      <c r="D4" s="34" t="s">
        <v>233</v>
      </c>
    </row>
    <row r="5" spans="3:4" ht="18.75">
      <c r="C5" s="34"/>
      <c r="D5" s="34" t="s">
        <v>233</v>
      </c>
    </row>
    <row r="6" ht="15.75">
      <c r="C6" s="35" t="s">
        <v>234</v>
      </c>
    </row>
    <row r="10" ht="20.25">
      <c r="B10" s="36" t="s">
        <v>235</v>
      </c>
    </row>
    <row r="11" ht="18.75">
      <c r="B11" s="37" t="s">
        <v>5</v>
      </c>
    </row>
    <row r="14" ht="15.75">
      <c r="B14" s="38" t="s">
        <v>236</v>
      </c>
    </row>
    <row r="15" ht="15.75">
      <c r="B15" s="38" t="s">
        <v>237</v>
      </c>
    </row>
    <row r="16" ht="15.75">
      <c r="B16" s="38" t="s">
        <v>238</v>
      </c>
    </row>
    <row r="17" spans="1:4" ht="15">
      <c r="A17" s="40" t="s">
        <v>187</v>
      </c>
      <c r="B17" s="40" t="s">
        <v>193</v>
      </c>
      <c r="C17" s="40" t="s">
        <v>194</v>
      </c>
      <c r="D17" s="39" t="s">
        <v>240</v>
      </c>
    </row>
    <row r="18" spans="1:4" ht="15">
      <c r="A18" s="41" t="s">
        <v>188</v>
      </c>
      <c r="B18" s="41"/>
      <c r="C18" s="41" t="s">
        <v>239</v>
      </c>
      <c r="D18" s="42" t="s">
        <v>241</v>
      </c>
    </row>
    <row r="19" spans="1:4" ht="15">
      <c r="A19" s="40">
        <v>1</v>
      </c>
      <c r="B19" s="40">
        <v>2</v>
      </c>
      <c r="C19" s="40">
        <v>3</v>
      </c>
      <c r="D19" s="39">
        <v>4</v>
      </c>
    </row>
    <row r="20" spans="1:5" ht="14.25">
      <c r="A20" s="45" t="str">
        <f>Source!E24</f>
        <v>1</v>
      </c>
      <c r="B20" s="47" t="str">
        <f>Source!G24</f>
        <v>РАЗБОРКА ДЕРЕВЯННЫХ ЗАПОЛНЕНИЙ ПРОЕМОВ ДВЕРНЫХ, ВОРОТНЫХ</v>
      </c>
      <c r="C20" s="49" t="str">
        <f>Source!H24</f>
        <v>100 м2</v>
      </c>
      <c r="D20" s="52">
        <f>Source!I24</f>
        <v>0.021</v>
      </c>
      <c r="E20" s="44"/>
    </row>
    <row r="21" spans="1:5" ht="28.5">
      <c r="A21" s="45" t="str">
        <f>Source!E25</f>
        <v>2</v>
      </c>
      <c r="B21" s="47" t="str">
        <f>Source!G25</f>
        <v>УСТАНОВКА ПРОТИВОПОЖАРНЫХ, УСИЛЕННЫХ ДЕРЕВЯННЫХ ДВЕРНЫХ БЛОКОВ, ВХОДНЫХ В КВАРТИРУ</v>
      </c>
      <c r="C21" s="49" t="str">
        <f>Source!H25</f>
        <v>100 м2</v>
      </c>
      <c r="D21" s="52">
        <f>Source!I25</f>
        <v>0.021</v>
      </c>
      <c r="E21" s="44"/>
    </row>
    <row r="22" spans="1:5" ht="14.25">
      <c r="A22" s="45" t="str">
        <f>Source!E27</f>
        <v>3</v>
      </c>
      <c r="B22" s="47" t="str">
        <f>Source!G27</f>
        <v>УСТАНОВКА ДВЕРНОГО ДОВОДЧИКА К ДВЕРЯМ ИЗ ДРЕВЕСИНЫ</v>
      </c>
      <c r="C22" s="49" t="str">
        <f>Source!H27</f>
        <v>прибор</v>
      </c>
      <c r="D22" s="52">
        <f>Source!I27</f>
        <v>1</v>
      </c>
      <c r="E22" s="44"/>
    </row>
    <row r="23" spans="1:5" ht="28.5">
      <c r="A23" s="45" t="str">
        <f>Source!E29</f>
        <v>4</v>
      </c>
      <c r="B23" s="47" t="str">
        <f>Source!G29</f>
        <v>УСТРОЙСТВО ОСНОВАНИЯ ПОД ШТУКАТУРКУ ИЗ МЕТАЛЛИЧЕСКОЙ СЕТКИ ПО КИРПИЧНЫМ И БЕТОННЫМ ПОВЕРХНОСТЯМ</v>
      </c>
      <c r="C23" s="49" t="str">
        <f>Source!H29</f>
        <v>100 м2</v>
      </c>
      <c r="D23" s="52">
        <f>Source!I29</f>
        <v>0.0132</v>
      </c>
      <c r="E23" s="44"/>
    </row>
    <row r="24" spans="1:5" ht="28.5">
      <c r="A24" s="45" t="str">
        <f>Source!E32</f>
        <v>5</v>
      </c>
      <c r="B24" s="47" t="str">
        <f>Source!G32</f>
        <v>ШТУКАТУРКА ПОВЕРХНОСТЕЙ ОКОННЫХ И ДВЕРНЫХ ОТКОСОВ ПО БЕТОНУ И КАМНЮ ПЛОСКИХ</v>
      </c>
      <c r="C24" s="49" t="str">
        <f>Source!H32</f>
        <v>100 м2</v>
      </c>
      <c r="D24" s="52">
        <f>Source!I32</f>
        <v>0.0132</v>
      </c>
      <c r="E24" s="44"/>
    </row>
    <row r="25" spans="1:5" ht="28.5">
      <c r="A25" s="45" t="str">
        <f>Source!E37</f>
        <v>6</v>
      </c>
      <c r="B25" s="47" t="str">
        <f>Source!G37</f>
        <v>УЛУЧШЕННАЯ ОКРАСКА КОЛЕРОМ МАСЛЯНЫМ РАЗБЕЛЕННЫМ ОТКОСОВ ПО ШТУКАТУРКЕ</v>
      </c>
      <c r="C25" s="49" t="str">
        <f>Source!H37</f>
        <v>100 м2</v>
      </c>
      <c r="D25" s="52">
        <f>Source!I37</f>
        <v>0.0132</v>
      </c>
      <c r="E25" s="44"/>
    </row>
    <row r="26" spans="1:5" ht="28.5">
      <c r="A26" s="45" t="str">
        <f>Source!E41</f>
        <v>7</v>
      </c>
      <c r="B26" s="47" t="str">
        <f>Source!G41</f>
        <v>ПОГРУЗКА И ВЫГРУЗКА ВРУЧНУЮ СТРОИТЕЛЬНОГО МУСОРА НА ТРАНСПОРТНЫЕ СРЕДСТВА</v>
      </c>
      <c r="C26" s="49" t="str">
        <f>Source!H41</f>
        <v>т</v>
      </c>
      <c r="D26" s="52">
        <f>Source!I41</f>
        <v>0.15058</v>
      </c>
      <c r="E26" s="44"/>
    </row>
    <row r="27" spans="1:5" ht="28.5">
      <c r="A27" s="46" t="str">
        <f>Source!E42</f>
        <v>8</v>
      </c>
      <c r="B27" s="48" t="str">
        <f>Source!G42</f>
        <v>ПЕРЕВОЗКА СТРОИТЕЛЬНОГО МУСОРА НА РАССТОЯНИЕ 60 КМ АВТОСАМОСВАЛАМИ ГРУЗОПОДЪЕМНОСТЬЮ ДО 16 Т, ПЕРЕВОЗКА ДО 60 КМ</v>
      </c>
      <c r="C27" s="50" t="str">
        <f>Source!H42</f>
        <v>т</v>
      </c>
      <c r="D27" s="51">
        <f>Source!I42</f>
        <v>0.15058</v>
      </c>
      <c r="E27" s="44"/>
    </row>
    <row r="31" s="43" customFormat="1" ht="15.75">
      <c r="B31" s="43" t="s">
        <v>242</v>
      </c>
    </row>
  </sheetData>
  <sheetProtection/>
  <mergeCells count="1">
    <mergeCell ref="A1:D1"/>
  </mergeCells>
  <printOptions/>
  <pageMargins left="0.6" right="0.196850393700787" top="0.4" bottom="0.393700787401575" header="0.11811023622047198" footer="0.11811023622047198"/>
  <pageSetup horizontalDpi="600" verticalDpi="600" orientation="portrait" paperSize="9" scale="67" r:id="rId1"/>
  <headerFooter>
    <oddHeader>&amp;L&amp;8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40"/>
  <sheetViews>
    <sheetView tabSelected="1" zoomScalePageLayoutView="0" workbookViewId="0" topLeftCell="A115">
      <selection activeCell="K133" sqref="K133"/>
    </sheetView>
  </sheetViews>
  <sheetFormatPr defaultColWidth="9.140625" defaultRowHeight="12.75"/>
  <cols>
    <col min="1" max="1" width="4.7109375" style="0" customWidth="1"/>
    <col min="2" max="2" width="12.28125" style="0" customWidth="1"/>
    <col min="3" max="3" width="30.7109375" style="0" customWidth="1"/>
    <col min="4" max="4" width="10.7109375" style="0" customWidth="1"/>
    <col min="7" max="8" width="9.7109375" style="0" customWidth="1"/>
    <col min="9" max="9" width="10.7109375" style="0" customWidth="1"/>
    <col min="10" max="10" width="9.7109375" style="0" customWidth="1"/>
    <col min="11" max="11" width="10.7109375" style="0" customWidth="1"/>
    <col min="12" max="28" width="0" style="0" hidden="1" customWidth="1"/>
  </cols>
  <sheetData>
    <row r="1" s="4" customFormat="1" ht="11.25">
      <c r="A1" s="4" t="str">
        <f>CONCATENATE(Source!B1,"     ТСН-2001 (© ОАО МЦЦС 'Мосстройцены', 2006)")</f>
        <v>Smeta.ru  (495) 974-1589     ТСН-2001 (© ОАО МЦЦС 'Мосстройцены', 2006)</v>
      </c>
    </row>
    <row r="2" s="4" customFormat="1" ht="11.25">
      <c r="K2" s="4" t="s">
        <v>174</v>
      </c>
    </row>
    <row r="3" spans="1:9" s="5" customFormat="1" ht="15">
      <c r="A3" s="5" t="s">
        <v>175</v>
      </c>
      <c r="F3" s="71" t="s">
        <v>176</v>
      </c>
      <c r="G3" s="71"/>
      <c r="H3" s="71"/>
      <c r="I3" s="71"/>
    </row>
    <row r="5" spans="1:11" ht="12.75">
      <c r="A5" s="72">
        <f>Source!AS12</f>
      </c>
      <c r="B5" s="72"/>
      <c r="C5" s="72">
        <f>Source!CH12</f>
      </c>
      <c r="D5" s="72"/>
      <c r="E5" s="7"/>
      <c r="F5" s="72">
        <f>Source!AR12</f>
      </c>
      <c r="G5" s="72"/>
      <c r="H5" s="72"/>
      <c r="I5" s="72">
        <f>Source!CG12</f>
      </c>
      <c r="J5" s="72"/>
      <c r="K5" s="72"/>
    </row>
    <row r="6" spans="1:11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2.75">
      <c r="A7" s="8"/>
      <c r="B7" s="8"/>
      <c r="C7" s="72">
        <f>Source!M12</f>
      </c>
      <c r="D7" s="72"/>
      <c r="E7" s="7"/>
      <c r="F7" s="8"/>
      <c r="G7" s="8"/>
      <c r="H7" s="72">
        <f>Source!L12</f>
      </c>
      <c r="I7" s="72"/>
      <c r="J7" s="72"/>
      <c r="K7" s="72"/>
    </row>
    <row r="8" spans="1:11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6" s="5" customFormat="1" ht="15">
      <c r="A9" s="5" t="s">
        <v>243</v>
      </c>
      <c r="F9" s="5" t="s">
        <v>243</v>
      </c>
    </row>
    <row r="12" spans="1:11" ht="12.75">
      <c r="A12" s="66" t="str">
        <f>IF(Source!G4&lt;&gt;"",Source!G4,IF(Source!F4&lt;&gt;"",Source!F4,IF(Source!G5&lt;&gt;"",Source!G5,IF(Source!F5&lt;&gt;"",Source!F5,IF(Source!G6&lt;&gt;"",Source!G6,IF(Source!F6&lt;&gt;"",Source!F6," "))))))</f>
        <v> 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ht="12.75">
      <c r="A13" s="4" t="s">
        <v>177</v>
      </c>
    </row>
    <row r="15" spans="1:11" ht="13.5">
      <c r="A15" s="67" t="s">
        <v>178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2.75">
      <c r="A16" s="69" t="s">
        <v>179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8" spans="1:11" ht="18.75">
      <c r="A18" s="4" t="s">
        <v>180</v>
      </c>
      <c r="B18" s="70" t="str">
        <f>IF(Source!G12&lt;&gt;"",Source!G12,Source!F12)</f>
        <v>Монтаж противодымной двери</v>
      </c>
      <c r="C18" s="70"/>
      <c r="D18" s="70"/>
      <c r="E18" s="70"/>
      <c r="F18" s="70"/>
      <c r="G18" s="70"/>
      <c r="H18" s="70"/>
      <c r="I18" s="70"/>
      <c r="J18" s="70"/>
      <c r="K18" s="70"/>
    </row>
    <row r="19" spans="2:11" ht="12.75">
      <c r="B19" s="69" t="s">
        <v>181</v>
      </c>
      <c r="C19" s="68"/>
      <c r="D19" s="68"/>
      <c r="E19" s="68"/>
      <c r="F19" s="68"/>
      <c r="G19" s="68"/>
      <c r="H19" s="68"/>
      <c r="I19" s="68"/>
      <c r="J19" s="68"/>
      <c r="K19" s="68"/>
    </row>
    <row r="21" spans="1:11" ht="12.75">
      <c r="A21" s="58" t="str">
        <f>CONCATENATE("Основание: чертежи № ",Source!J12)</f>
        <v>Основание: чертежи № 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3" spans="7:11" ht="12.75">
      <c r="G23" s="4" t="s">
        <v>182</v>
      </c>
      <c r="J23" s="11">
        <f>(Source!F81/1000)</f>
        <v>14.84767</v>
      </c>
      <c r="K23" s="6" t="s">
        <v>183</v>
      </c>
    </row>
    <row r="24" spans="7:11" ht="12.75">
      <c r="G24" s="4" t="s">
        <v>184</v>
      </c>
      <c r="J24" s="11">
        <f>((Source!F72+Source!F71)/1000)</f>
        <v>1.6043</v>
      </c>
      <c r="K24" s="6" t="s">
        <v>183</v>
      </c>
    </row>
    <row r="25" spans="1:6" ht="12.75">
      <c r="A25" s="4" t="s">
        <v>185</v>
      </c>
      <c r="B25" s="4"/>
      <c r="C25" s="4"/>
      <c r="D25" s="12">
        <f>IF(AND(Source!P12&lt;&gt;0,Source!Q12&lt;&gt;0),DATE(Source!P12,Source!Q12,1),IF(Source!AF12=0,"",IF(Source!AN12=0,"",DATE(Source!AF12,Source!AN12,1))))</f>
        <v>41275</v>
      </c>
      <c r="E25" s="13">
        <f>IF(AND(Source!P12&lt;&gt;0,Source!Q12&lt;&gt;0),Source!P12,IF(Source!AF12=0,"",Source!AF12))</f>
        <v>2013</v>
      </c>
      <c r="F25" s="4" t="s">
        <v>186</v>
      </c>
    </row>
    <row r="26" spans="1:25" ht="12.75">
      <c r="A26" s="16"/>
      <c r="B26" s="16"/>
      <c r="C26" s="16"/>
      <c r="D26" s="16"/>
      <c r="E26" s="16"/>
      <c r="F26" s="15" t="s">
        <v>199</v>
      </c>
      <c r="G26" s="64" t="s">
        <v>203</v>
      </c>
      <c r="H26" s="65"/>
      <c r="I26" s="65"/>
      <c r="J26" s="15"/>
      <c r="K26" s="20" t="s">
        <v>213</v>
      </c>
      <c r="Y26">
        <v>-1</v>
      </c>
    </row>
    <row r="27" spans="1:11" ht="12.75">
      <c r="A27" s="14" t="s">
        <v>187</v>
      </c>
      <c r="B27" s="14" t="s">
        <v>189</v>
      </c>
      <c r="C27" s="17"/>
      <c r="D27" s="14" t="s">
        <v>194</v>
      </c>
      <c r="E27" s="14" t="s">
        <v>197</v>
      </c>
      <c r="F27" s="14" t="s">
        <v>200</v>
      </c>
      <c r="G27" s="15"/>
      <c r="H27" s="15" t="s">
        <v>206</v>
      </c>
      <c r="I27" s="15"/>
      <c r="J27" s="14" t="s">
        <v>211</v>
      </c>
      <c r="K27" s="18" t="s">
        <v>214</v>
      </c>
    </row>
    <row r="28" spans="1:11" ht="12.75">
      <c r="A28" s="14" t="s">
        <v>188</v>
      </c>
      <c r="B28" s="14" t="s">
        <v>190</v>
      </c>
      <c r="C28" s="14" t="s">
        <v>193</v>
      </c>
      <c r="D28" s="14" t="s">
        <v>195</v>
      </c>
      <c r="E28" s="14" t="s">
        <v>198</v>
      </c>
      <c r="F28" s="14" t="s">
        <v>201</v>
      </c>
      <c r="G28" s="14" t="s">
        <v>204</v>
      </c>
      <c r="H28" s="14" t="s">
        <v>207</v>
      </c>
      <c r="I28" s="14" t="s">
        <v>209</v>
      </c>
      <c r="J28" s="14" t="s">
        <v>212</v>
      </c>
      <c r="K28" s="19" t="s">
        <v>215</v>
      </c>
    </row>
    <row r="29" spans="1:11" ht="12.75">
      <c r="A29" s="17"/>
      <c r="B29" s="14" t="s">
        <v>191</v>
      </c>
      <c r="C29" s="17"/>
      <c r="D29" s="14" t="s">
        <v>196</v>
      </c>
      <c r="E29" s="17"/>
      <c r="F29" s="14" t="s">
        <v>202</v>
      </c>
      <c r="G29" s="14" t="s">
        <v>205</v>
      </c>
      <c r="H29" s="14" t="s">
        <v>208</v>
      </c>
      <c r="I29" s="14" t="s">
        <v>210</v>
      </c>
      <c r="J29" s="14" t="s">
        <v>202</v>
      </c>
      <c r="K29" s="18" t="s">
        <v>216</v>
      </c>
    </row>
    <row r="30" spans="1:11" ht="12.75">
      <c r="A30" s="17"/>
      <c r="B30" s="14" t="s">
        <v>192</v>
      </c>
      <c r="C30" s="17"/>
      <c r="D30" s="17"/>
      <c r="E30" s="17"/>
      <c r="F30" s="17"/>
      <c r="G30" s="14"/>
      <c r="H30" s="14"/>
      <c r="I30" s="14"/>
      <c r="J30" s="14"/>
      <c r="K30" s="19" t="s">
        <v>217</v>
      </c>
    </row>
    <row r="31" spans="1:11" ht="12.75">
      <c r="A31" s="21">
        <v>1</v>
      </c>
      <c r="B31" s="21">
        <v>2</v>
      </c>
      <c r="C31" s="21">
        <v>3</v>
      </c>
      <c r="D31" s="21">
        <v>4</v>
      </c>
      <c r="E31" s="21">
        <v>5</v>
      </c>
      <c r="F31" s="21">
        <v>6</v>
      </c>
      <c r="G31" s="21">
        <v>7</v>
      </c>
      <c r="H31" s="21">
        <v>8</v>
      </c>
      <c r="I31" s="21">
        <v>9</v>
      </c>
      <c r="J31" s="21">
        <v>10</v>
      </c>
      <c r="K31" s="22">
        <v>11</v>
      </c>
    </row>
    <row r="33" spans="1:25" ht="36">
      <c r="A33" s="23" t="str">
        <f>Source!E24</f>
        <v>1</v>
      </c>
      <c r="B33" s="23" t="str">
        <f>Source!F24</f>
        <v>6.56-38-3</v>
      </c>
      <c r="C33" s="10" t="str">
        <f>Source!G24</f>
        <v>РАЗБОРКА ДЕРЕВЯННЫХ ЗАПОЛНЕНИЙ ПРОЕМОВ ДВЕРНЫХ, ВОРОТНЫХ</v>
      </c>
      <c r="D33" s="24" t="str">
        <f>Source!H24</f>
        <v>100 м2</v>
      </c>
      <c r="E33" s="6">
        <f>ROUND(Source!I24,6)</f>
        <v>0.021</v>
      </c>
      <c r="F33" s="6"/>
      <c r="G33" s="6"/>
      <c r="H33" s="6"/>
      <c r="I33" s="6"/>
      <c r="J33" s="6"/>
      <c r="K33" s="6"/>
      <c r="Y33">
        <v>1</v>
      </c>
    </row>
    <row r="34" spans="1:11" ht="12.75">
      <c r="A34" s="6"/>
      <c r="B34" s="6"/>
      <c r="C34" s="6" t="s">
        <v>218</v>
      </c>
      <c r="D34" s="6"/>
      <c r="E34" s="6"/>
      <c r="F34" s="11">
        <f>Source!AO24</f>
        <v>966.19</v>
      </c>
      <c r="G34" s="25">
        <f>Source!DG24</f>
      </c>
      <c r="H34" s="6">
        <f>Source!AV24</f>
        <v>1.047</v>
      </c>
      <c r="I34" s="6">
        <f>Source!BA24</f>
        <v>13.44</v>
      </c>
      <c r="J34" s="11">
        <f>Source!S24</f>
        <v>285.51</v>
      </c>
      <c r="K34" s="6"/>
    </row>
    <row r="35" spans="1:11" ht="12.75">
      <c r="A35" s="6"/>
      <c r="B35" s="6"/>
      <c r="C35" s="6" t="s">
        <v>219</v>
      </c>
      <c r="D35" s="6"/>
      <c r="E35" s="6"/>
      <c r="F35" s="11">
        <f>Source!AM24</f>
        <v>0</v>
      </c>
      <c r="G35" s="25">
        <f>Source!DE24</f>
      </c>
      <c r="H35" s="6">
        <f>Source!AV24</f>
        <v>1.047</v>
      </c>
      <c r="I35" s="6">
        <f>Source!BB24</f>
        <v>1</v>
      </c>
      <c r="J35" s="11">
        <f>Source!Q24</f>
        <v>0</v>
      </c>
      <c r="K35" s="6"/>
    </row>
    <row r="36" spans="1:11" ht="12.75">
      <c r="A36" s="6"/>
      <c r="B36" s="6"/>
      <c r="C36" s="6" t="s">
        <v>220</v>
      </c>
      <c r="D36" s="6"/>
      <c r="E36" s="6"/>
      <c r="F36" s="11">
        <f>Source!AN24</f>
        <v>0</v>
      </c>
      <c r="G36" s="25">
        <f>Source!DF24</f>
      </c>
      <c r="H36" s="6">
        <f>Source!AV24</f>
        <v>1.047</v>
      </c>
      <c r="I36" s="6">
        <f>Source!BS24</f>
        <v>13.44</v>
      </c>
      <c r="J36" s="26" t="str">
        <f>CONCATENATE("(",TEXT(+Source!R24,"0,00"),")")</f>
        <v>(0,00)</v>
      </c>
      <c r="K36" s="6"/>
    </row>
    <row r="37" spans="1:11" ht="12.75">
      <c r="A37" s="6"/>
      <c r="B37" s="6"/>
      <c r="C37" s="6" t="s">
        <v>221</v>
      </c>
      <c r="D37" s="6"/>
      <c r="E37" s="6"/>
      <c r="F37" s="11">
        <f>Source!AL24</f>
        <v>0</v>
      </c>
      <c r="G37" s="6">
        <f>Source!DD24</f>
      </c>
      <c r="H37" s="6">
        <f>Source!AW24</f>
        <v>1</v>
      </c>
      <c r="I37" s="6">
        <f>Source!BC24</f>
        <v>1</v>
      </c>
      <c r="J37" s="11">
        <f>Source!P24</f>
        <v>0</v>
      </c>
      <c r="K37" s="6"/>
    </row>
    <row r="38" spans="1:11" ht="12.75">
      <c r="A38" s="6"/>
      <c r="B38" s="6"/>
      <c r="C38" s="6" t="s">
        <v>222</v>
      </c>
      <c r="D38" s="6" t="s">
        <v>223</v>
      </c>
      <c r="E38" s="6">
        <f>Source!AT24</f>
        <v>72</v>
      </c>
      <c r="F38" s="6"/>
      <c r="G38" s="6"/>
      <c r="H38" s="6"/>
      <c r="I38" s="6"/>
      <c r="J38" s="11">
        <f>Source!X24</f>
        <v>205.57</v>
      </c>
      <c r="K38" s="6"/>
    </row>
    <row r="39" spans="1:11" ht="12.75">
      <c r="A39" s="6"/>
      <c r="B39" s="6"/>
      <c r="C39" s="6" t="s">
        <v>224</v>
      </c>
      <c r="D39" s="6" t="s">
        <v>223</v>
      </c>
      <c r="E39" s="6">
        <f>Source!AU24</f>
        <v>44</v>
      </c>
      <c r="F39" s="6"/>
      <c r="G39" s="6"/>
      <c r="H39" s="6"/>
      <c r="I39" s="6"/>
      <c r="J39" s="11">
        <f>Source!Y24</f>
        <v>125.62</v>
      </c>
      <c r="K39" s="6"/>
    </row>
    <row r="40" spans="1:11" ht="12.75">
      <c r="A40" s="6"/>
      <c r="B40" s="6"/>
      <c r="C40" s="6" t="s">
        <v>225</v>
      </c>
      <c r="D40" s="6" t="s">
        <v>223</v>
      </c>
      <c r="E40" s="6">
        <v>169</v>
      </c>
      <c r="F40" s="6"/>
      <c r="G40" s="6"/>
      <c r="H40" s="6"/>
      <c r="I40" s="6"/>
      <c r="J40" s="11">
        <f>ROUND(Source!R24*E40/100,2)</f>
        <v>0</v>
      </c>
      <c r="K40" s="6"/>
    </row>
    <row r="41" spans="1:11" ht="12.75">
      <c r="A41" s="27"/>
      <c r="B41" s="27"/>
      <c r="C41" s="27" t="s">
        <v>226</v>
      </c>
      <c r="D41" s="27" t="s">
        <v>227</v>
      </c>
      <c r="E41" s="27">
        <f>Source!AQ24</f>
        <v>91.15</v>
      </c>
      <c r="F41" s="27"/>
      <c r="G41" s="28">
        <f>Source!DI24</f>
      </c>
      <c r="H41" s="27">
        <f>Source!AV24</f>
        <v>1.047</v>
      </c>
      <c r="I41" s="27"/>
      <c r="J41" s="27"/>
      <c r="K41" s="29">
        <f>Source!U24</f>
        <v>2.0041150500000002</v>
      </c>
    </row>
    <row r="42" spans="9:24" ht="12.75">
      <c r="I42" s="63">
        <f>Source!S24+Source!Q24+SUM(J37:J40)</f>
        <v>616.7</v>
      </c>
      <c r="J42" s="63"/>
      <c r="K42" s="30">
        <f>IF(Source!I24&lt;&gt;0,ROUND(I42/Source!I24,2),0)</f>
        <v>29366.67</v>
      </c>
      <c r="O42">
        <f>IF(Source!BI24=1,(IF(Source!BA24&lt;&gt;0,Source!S24/Source!BA24,Source!S24)+IF(Source!BB24&lt;&gt;0,Source!Q24/Source!BB24,Source!Q24)+IF(Source!BC24&lt;&gt;0,Source!P24/Source!BC24,Source!P24)+((Source!DN24/100)*(Source!S24/IF(Source!BA24&lt;&gt;0,Source!BA24,1)))+((Source!DO24/100)*(Source!S24/IF(Source!BA24&lt;&gt;0,Source!BA24,1)))+((Source!R24/IF(Source!BS24&lt;&gt;0,Source!BS24,1))*1.75)),0)</f>
        <v>49.92176339285715</v>
      </c>
      <c r="P42">
        <f>IF(Source!BI24=2,(IF(Source!BA24&lt;&gt;0,Source!S24/Source!BA24,Source!S24)+IF(Source!BB24&lt;&gt;0,Source!Q24/Source!BB24,Source!Q24)+IF(Source!BC24&lt;&gt;0,Source!P24/Source!BC24,Source!P24)+((Source!DN24/100)*(Source!S24/IF(Source!BA24&lt;&gt;0,Source!BA24,1)))+((Source!DO24/100)*(Source!S24/IF(Source!BA24&lt;&gt;0,Source!BA24,1)))+((Source!R24/IF(Source!BS24&lt;&gt;0,Source!BS24,1))*1.75)),0)</f>
        <v>0</v>
      </c>
      <c r="Q42">
        <f>IF(Source!BI24=3,(IF(Source!BA24&lt;&gt;0,Source!S24/Source!BA24,Source!S24)+IF(Source!BB24&lt;&gt;0,Source!Q24/Source!BB24,Source!Q24)+IF(Source!BC24&lt;&gt;0,Source!P24/Source!BC24,Source!P24)+((Source!DN24/100)*(Source!S24/IF(Source!BA24&lt;&gt;0,Source!BA24,1)))+((Source!DO24/100)*(Source!S24/IF(Source!BA24&lt;&gt;0,Source!BA24,1)))+((Source!R24/IF(Source!BS24&lt;&gt;0,Source!BS24,1))*1.75)),0)</f>
        <v>0</v>
      </c>
      <c r="R42">
        <f>IF(Source!BI24=4,(IF(Source!BA24&lt;&gt;0,Source!S24/Source!BA24,Source!S24)+IF(Source!BB24&lt;&gt;0,Source!Q24/Source!BB24,Source!Q24)+IF(Source!BC24&lt;&gt;0,Source!P24/Source!BC24,Source!P24)+((Source!DN24/100)*(Source!S24/IF(Source!BA24&lt;&gt;0,Source!BA24,1)))+((Source!DO24/100)*(Source!S24/IF(Source!BA24&lt;&gt;0,Source!BA24,1)))+((Source!R24/IF(Source!BS24&lt;&gt;0,Source!BS24,1))*1.75)),0)</f>
        <v>0</v>
      </c>
      <c r="U42">
        <f>IF(Source!BI24=1,Source!O24+Source!X24+Source!Y24+Source!R24*169/100,0)</f>
        <v>616.7</v>
      </c>
      <c r="V42">
        <f>IF(Source!BI24=2,Source!O24+Source!X24+Source!Y24+Source!R24*169/100,0)</f>
        <v>0</v>
      </c>
      <c r="W42">
        <f>IF(Source!BI24=3,Source!O24+Source!X24+Source!Y24+Source!R24*169/100,0)</f>
        <v>0</v>
      </c>
      <c r="X42">
        <f>IF(Source!BI24=4,Source!O24+Source!X24+Source!Y24+Source!R24*169/100,0)</f>
        <v>0</v>
      </c>
    </row>
    <row r="43" spans="1:25" ht="60">
      <c r="A43" s="23" t="str">
        <f>Source!E25</f>
        <v>2</v>
      </c>
      <c r="B43" s="23" t="str">
        <f>Source!F25</f>
        <v>3.10-81-1</v>
      </c>
      <c r="C43" s="10" t="str">
        <f>Source!G25</f>
        <v>УСТАНОВКА ПРОТИВОПОЖАРНЫХ, УСИЛЕННЫХ ДЕРЕВЯННЫХ ДВЕРНЫХ БЛОКОВ, ВХОДНЫХ В КВАРТИРУ</v>
      </c>
      <c r="D43" s="24" t="str">
        <f>Source!H25</f>
        <v>100 м2</v>
      </c>
      <c r="E43" s="6">
        <f>ROUND(Source!I25,6)</f>
        <v>0.021</v>
      </c>
      <c r="F43" s="6"/>
      <c r="G43" s="6"/>
      <c r="H43" s="6"/>
      <c r="I43" s="6"/>
      <c r="J43" s="6"/>
      <c r="K43" s="6"/>
      <c r="Y43">
        <v>2</v>
      </c>
    </row>
    <row r="44" spans="1:11" ht="12.75">
      <c r="A44" s="6"/>
      <c r="B44" s="6"/>
      <c r="C44" s="6" t="s">
        <v>218</v>
      </c>
      <c r="D44" s="6"/>
      <c r="E44" s="6"/>
      <c r="F44" s="11">
        <f>Source!AO25</f>
        <v>1599.79</v>
      </c>
      <c r="G44" s="25">
        <f>Source!DG25</f>
      </c>
      <c r="H44" s="6">
        <f>Source!AV25</f>
        <v>1.047</v>
      </c>
      <c r="I44" s="6">
        <f>Source!BA25</f>
        <v>13.44</v>
      </c>
      <c r="J44" s="11">
        <f>Source!S25</f>
        <v>472.75</v>
      </c>
      <c r="K44" s="6"/>
    </row>
    <row r="45" spans="1:11" ht="12.75">
      <c r="A45" s="6"/>
      <c r="B45" s="6"/>
      <c r="C45" s="6" t="s">
        <v>219</v>
      </c>
      <c r="D45" s="6"/>
      <c r="E45" s="6"/>
      <c r="F45" s="11">
        <f>Source!AM25</f>
        <v>302.42</v>
      </c>
      <c r="G45" s="25">
        <f>Source!DE25</f>
      </c>
      <c r="H45" s="6">
        <f>Source!AV25</f>
        <v>1.047</v>
      </c>
      <c r="I45" s="6">
        <f>Source!BB25</f>
        <v>7.4</v>
      </c>
      <c r="J45" s="11">
        <f>Source!Q25</f>
        <v>49.2</v>
      </c>
      <c r="K45" s="6"/>
    </row>
    <row r="46" spans="1:11" ht="12.75">
      <c r="A46" s="6"/>
      <c r="B46" s="6"/>
      <c r="C46" s="6" t="s">
        <v>220</v>
      </c>
      <c r="D46" s="6"/>
      <c r="E46" s="6"/>
      <c r="F46" s="11">
        <f>Source!AN25</f>
        <v>75.01</v>
      </c>
      <c r="G46" s="25">
        <f>Source!DF25</f>
      </c>
      <c r="H46" s="6">
        <f>Source!AV25</f>
        <v>1.047</v>
      </c>
      <c r="I46" s="6">
        <f>Source!BS25</f>
        <v>13.44</v>
      </c>
      <c r="J46" s="26" t="str">
        <f>CONCATENATE("(",TEXT(+Source!R25,"0,00"),")")</f>
        <v>(22,17)</v>
      </c>
      <c r="K46" s="6"/>
    </row>
    <row r="47" spans="1:11" ht="12.75">
      <c r="A47" s="6"/>
      <c r="B47" s="6"/>
      <c r="C47" s="6" t="s">
        <v>221</v>
      </c>
      <c r="D47" s="6"/>
      <c r="E47" s="6"/>
      <c r="F47" s="11">
        <f>Source!AL25</f>
        <v>2319.61</v>
      </c>
      <c r="G47" s="6">
        <f>Source!DD25</f>
      </c>
      <c r="H47" s="6">
        <f>Source!AW25</f>
        <v>1</v>
      </c>
      <c r="I47" s="6">
        <f>Source!BC25</f>
        <v>3.8</v>
      </c>
      <c r="J47" s="11">
        <f>Source!P25</f>
        <v>185.1</v>
      </c>
      <c r="K47" s="6"/>
    </row>
    <row r="48" spans="1:25" ht="108">
      <c r="A48" s="23" t="str">
        <f>Source!E26</f>
        <v>2,1</v>
      </c>
      <c r="B48" s="23" t="str">
        <f>Source!F26</f>
        <v>1.9-7-338</v>
      </c>
      <c r="C48" s="10" t="str">
        <f>Source!G26</f>
        <v>БЛОКИ ДВЕРНЫЕ ПРОТИВОПОЖАРНЫЕ, СПЛОШНЫЕ, ОСТЕКЛЕННЫЕ АРМИРОВАННЫМ СТЕКЛОМ, С ОГНЕЗАЩИТНЫМ ПОКРЫТИЕМ, ОКРАШЕННЫЕ ЭМАЛЯМИ, ОДНОПОЛЬНЫЕ, МАРКА ДПШ 21-10, ПЛОЩАДЬ 2,01 М2, СО СКОБЯНЫМИ ПРИБОРАМИ</v>
      </c>
      <c r="D48" s="24" t="str">
        <f>Source!H26</f>
        <v>м2</v>
      </c>
      <c r="E48" s="6">
        <f>ROUND(Source!I26,6)</f>
        <v>2.1</v>
      </c>
      <c r="F48" s="11">
        <f>IF(Source!AL26=0,Source!AK26,Source!AL26)</f>
        <v>1146.93</v>
      </c>
      <c r="G48" s="25">
        <f>Source!DD26</f>
      </c>
      <c r="H48" s="6">
        <f>Source!AW26</f>
        <v>1</v>
      </c>
      <c r="I48" s="6">
        <f>Source!BC26</f>
        <v>3.1</v>
      </c>
      <c r="J48" s="11">
        <f>Source!O26</f>
        <v>7466.51</v>
      </c>
      <c r="K48" s="6"/>
      <c r="O48">
        <f>IF(Source!BI26=1,(0),0)</f>
        <v>0</v>
      </c>
      <c r="P48">
        <f>IF(Source!BI26=2,(0),0)</f>
        <v>0</v>
      </c>
      <c r="Q48">
        <f>IF(Source!BI26=3,(0),0)</f>
        <v>0</v>
      </c>
      <c r="R48">
        <f>IF(Source!BI26=4,(0),0)</f>
        <v>0</v>
      </c>
      <c r="U48">
        <f>IF(Source!BI26=1,Source!O26+Source!X26+Source!Y26,0)</f>
        <v>7466.51</v>
      </c>
      <c r="V48">
        <f>IF(Source!BI26=2,Source!O26+Source!X26+Source!Y26,0)</f>
        <v>0</v>
      </c>
      <c r="W48">
        <f>IF(Source!BI26=3,Source!O26+Source!X26+Source!Y26,0)</f>
        <v>0</v>
      </c>
      <c r="X48">
        <f>IF(Source!BI26=4,Source!O26+Source!X26+Source!Y26,0)</f>
        <v>0</v>
      </c>
      <c r="Y48">
        <v>3</v>
      </c>
    </row>
    <row r="49" spans="1:11" ht="12.75">
      <c r="A49" s="6"/>
      <c r="B49" s="6"/>
      <c r="C49" s="6" t="s">
        <v>222</v>
      </c>
      <c r="D49" s="6" t="s">
        <v>223</v>
      </c>
      <c r="E49" s="6">
        <f>Source!AT25</f>
        <v>89</v>
      </c>
      <c r="F49" s="6"/>
      <c r="G49" s="6"/>
      <c r="H49" s="6"/>
      <c r="I49" s="6"/>
      <c r="J49" s="11">
        <f>Source!X25</f>
        <v>420.75</v>
      </c>
      <c r="K49" s="6"/>
    </row>
    <row r="50" spans="1:11" ht="12.75">
      <c r="A50" s="6"/>
      <c r="B50" s="6"/>
      <c r="C50" s="6" t="s">
        <v>224</v>
      </c>
      <c r="D50" s="6" t="s">
        <v>223</v>
      </c>
      <c r="E50" s="6">
        <f>Source!AU25</f>
        <v>44</v>
      </c>
      <c r="F50" s="6"/>
      <c r="G50" s="6"/>
      <c r="H50" s="6"/>
      <c r="I50" s="6"/>
      <c r="J50" s="11">
        <f>Source!Y25</f>
        <v>208.01</v>
      </c>
      <c r="K50" s="6"/>
    </row>
    <row r="51" spans="1:11" ht="12.75">
      <c r="A51" s="6"/>
      <c r="B51" s="6"/>
      <c r="C51" s="6" t="s">
        <v>225</v>
      </c>
      <c r="D51" s="6" t="s">
        <v>223</v>
      </c>
      <c r="E51" s="6">
        <v>169</v>
      </c>
      <c r="F51" s="6"/>
      <c r="G51" s="6"/>
      <c r="H51" s="6"/>
      <c r="I51" s="6"/>
      <c r="J51" s="11">
        <f>ROUND(Source!R25*E51/100,2)</f>
        <v>37.47</v>
      </c>
      <c r="K51" s="6"/>
    </row>
    <row r="52" spans="1:11" ht="12.75">
      <c r="A52" s="27"/>
      <c r="B52" s="27"/>
      <c r="C52" s="27" t="s">
        <v>226</v>
      </c>
      <c r="D52" s="27" t="s">
        <v>227</v>
      </c>
      <c r="E52" s="27">
        <f>Source!AQ25</f>
        <v>124.54</v>
      </c>
      <c r="F52" s="27"/>
      <c r="G52" s="28">
        <f>Source!DI25</f>
      </c>
      <c r="H52" s="27">
        <f>Source!AV25</f>
        <v>1.047</v>
      </c>
      <c r="I52" s="27"/>
      <c r="J52" s="27"/>
      <c r="K52" s="29">
        <f>Source!U25</f>
        <v>2.73826098</v>
      </c>
    </row>
    <row r="53" spans="9:24" ht="12.75">
      <c r="I53" s="63">
        <f>Source!S25+Source!Q25+SUM(J47:J51)</f>
        <v>8839.79</v>
      </c>
      <c r="J53" s="63"/>
      <c r="K53" s="30">
        <f>IF(Source!I25&lt;&gt;0,ROUND(I53/Source!I25,2),0)</f>
        <v>420942.38</v>
      </c>
      <c r="O53">
        <f>IF(Source!BI25=1,(IF(Source!BA25&lt;&gt;0,Source!S25/Source!BA25,Source!S25)+IF(Source!BB25&lt;&gt;0,Source!Q25/Source!BB25,Source!Q25)+IF(Source!BC25&lt;&gt;0,Source!P25/Source!BC25,Source!P25)+((Source!DN25/100)*(Source!S25/IF(Source!BA25&lt;&gt;0,Source!BA25,1)))+((Source!DO25/100)*(Source!S25/IF(Source!BA25&lt;&gt;0,Source!BA25,1)))+((Source!R25/IF(Source!BS25&lt;&gt;0,Source!BS25,1))*1.75)),0)</f>
        <v>165.17744133348572</v>
      </c>
      <c r="P53">
        <f>IF(Source!BI25=2,(IF(Source!BA25&lt;&gt;0,Source!S25/Source!BA25,Source!S25)+IF(Source!BB25&lt;&gt;0,Source!Q25/Source!BB25,Source!Q25)+IF(Source!BC25&lt;&gt;0,Source!P25/Source!BC25,Source!P25)+((Source!DN25/100)*(Source!S25/IF(Source!BA25&lt;&gt;0,Source!BA25,1)))+((Source!DO25/100)*(Source!S25/IF(Source!BA25&lt;&gt;0,Source!BA25,1)))+((Source!R25/IF(Source!BS25&lt;&gt;0,Source!BS25,1))*1.75)),0)</f>
        <v>0</v>
      </c>
      <c r="Q53">
        <f>IF(Source!BI25=3,(IF(Source!BA25&lt;&gt;0,Source!S25/Source!BA25,Source!S25)+IF(Source!BB25&lt;&gt;0,Source!Q25/Source!BB25,Source!Q25)+IF(Source!BC25&lt;&gt;0,Source!P25/Source!BC25,Source!P25)+((Source!DN25/100)*(Source!S25/IF(Source!BA25&lt;&gt;0,Source!BA25,1)))+((Source!DO25/100)*(Source!S25/IF(Source!BA25&lt;&gt;0,Source!BA25,1)))+((Source!R25/IF(Source!BS25&lt;&gt;0,Source!BS25,1))*1.75)),0)</f>
        <v>0</v>
      </c>
      <c r="R53">
        <f>IF(Source!BI25=4,(IF(Source!BA25&lt;&gt;0,Source!S25/Source!BA25,Source!S25)+IF(Source!BB25&lt;&gt;0,Source!Q25/Source!BB25,Source!Q25)+IF(Source!BC25&lt;&gt;0,Source!P25/Source!BC25,Source!P25)+((Source!DN25/100)*(Source!S25/IF(Source!BA25&lt;&gt;0,Source!BA25,1)))+((Source!DO25/100)*(Source!S25/IF(Source!BA25&lt;&gt;0,Source!BA25,1)))+((Source!R25/IF(Source!BS25&lt;&gt;0,Source!BS25,1))*1.75)),0)</f>
        <v>0</v>
      </c>
      <c r="U53">
        <f>IF(Source!BI25=1,Source!O25+Source!X25+Source!Y25+Source!R25*169/100,0)</f>
        <v>1373.2773</v>
      </c>
      <c r="V53">
        <f>IF(Source!BI25=2,Source!O25+Source!X25+Source!Y25+Source!R25*169/100,0)</f>
        <v>0</v>
      </c>
      <c r="W53">
        <f>IF(Source!BI25=3,Source!O25+Source!X25+Source!Y25+Source!R25*169/100,0)</f>
        <v>0</v>
      </c>
      <c r="X53">
        <f>IF(Source!BI25=4,Source!O25+Source!X25+Source!Y25+Source!R25*169/100,0)</f>
        <v>0</v>
      </c>
    </row>
    <row r="54" spans="1:25" ht="36">
      <c r="A54" s="23" t="str">
        <f>Source!E27</f>
        <v>3</v>
      </c>
      <c r="B54" s="23" t="str">
        <f>Source!F27</f>
        <v>3.10-78-1</v>
      </c>
      <c r="C54" s="10" t="str">
        <f>Source!G27</f>
        <v>УСТАНОВКА ДВЕРНОГО ДОВОДЧИКА К ДВЕРЯМ ИЗ ДРЕВЕСИНЫ</v>
      </c>
      <c r="D54" s="24" t="str">
        <f>Source!H27</f>
        <v>прибор</v>
      </c>
      <c r="E54" s="6">
        <f>ROUND(Source!I27,6)</f>
        <v>1</v>
      </c>
      <c r="F54" s="6"/>
      <c r="G54" s="6"/>
      <c r="H54" s="6"/>
      <c r="I54" s="6"/>
      <c r="J54" s="6"/>
      <c r="K54" s="6"/>
      <c r="Y54">
        <v>4</v>
      </c>
    </row>
    <row r="55" spans="1:11" ht="12.75">
      <c r="A55" s="6"/>
      <c r="B55" s="6"/>
      <c r="C55" s="6" t="s">
        <v>218</v>
      </c>
      <c r="D55" s="6"/>
      <c r="E55" s="6"/>
      <c r="F55" s="11">
        <f>Source!AO27</f>
        <v>3.88</v>
      </c>
      <c r="G55" s="25" t="str">
        <f>Source!DG27</f>
        <v>*1,15</v>
      </c>
      <c r="H55" s="6">
        <f>Source!AV27</f>
        <v>1.047</v>
      </c>
      <c r="I55" s="6">
        <f>Source!BA27</f>
        <v>13.44</v>
      </c>
      <c r="J55" s="11">
        <f>Source!S27</f>
        <v>62.79</v>
      </c>
      <c r="K55" s="6"/>
    </row>
    <row r="56" spans="1:11" ht="12.75">
      <c r="A56" s="6"/>
      <c r="B56" s="6"/>
      <c r="C56" s="6" t="s">
        <v>219</v>
      </c>
      <c r="D56" s="6"/>
      <c r="E56" s="6"/>
      <c r="F56" s="11">
        <f>Source!AM27</f>
        <v>0.18</v>
      </c>
      <c r="G56" s="25" t="str">
        <f>Source!DE27</f>
        <v>*1,25</v>
      </c>
      <c r="H56" s="6">
        <f>Source!AV27</f>
        <v>1.047</v>
      </c>
      <c r="I56" s="6">
        <f>Source!BB27</f>
        <v>5.59</v>
      </c>
      <c r="J56" s="11">
        <f>Source!Q27</f>
        <v>1.32</v>
      </c>
      <c r="K56" s="6"/>
    </row>
    <row r="57" spans="1:11" ht="12.75">
      <c r="A57" s="6"/>
      <c r="B57" s="6"/>
      <c r="C57" s="6" t="s">
        <v>220</v>
      </c>
      <c r="D57" s="6"/>
      <c r="E57" s="6"/>
      <c r="F57" s="11">
        <f>Source!AN27</f>
        <v>0.02</v>
      </c>
      <c r="G57" s="25" t="str">
        <f>Source!DF27</f>
        <v>*1,25</v>
      </c>
      <c r="H57" s="6">
        <f>Source!AV27</f>
        <v>1.047</v>
      </c>
      <c r="I57" s="6">
        <f>Source!BS27</f>
        <v>13.44</v>
      </c>
      <c r="J57" s="26" t="str">
        <f>CONCATENATE("(",TEXT(+Source!R27,"0,00"),")")</f>
        <v>(0,35)</v>
      </c>
      <c r="K57" s="6"/>
    </row>
    <row r="58" spans="1:11" ht="12.75">
      <c r="A58" s="6"/>
      <c r="B58" s="6"/>
      <c r="C58" s="6" t="s">
        <v>221</v>
      </c>
      <c r="D58" s="6"/>
      <c r="E58" s="6"/>
      <c r="F58" s="11">
        <f>Source!AL27</f>
        <v>0</v>
      </c>
      <c r="G58" s="6">
        <f>Source!DD27</f>
      </c>
      <c r="H58" s="6">
        <f>Source!AW27</f>
        <v>1</v>
      </c>
      <c r="I58" s="6">
        <f>Source!BC27</f>
        <v>1</v>
      </c>
      <c r="J58" s="11">
        <f>Source!P27</f>
        <v>0</v>
      </c>
      <c r="K58" s="6"/>
    </row>
    <row r="59" spans="1:25" ht="36">
      <c r="A59" s="23" t="str">
        <f>Source!E28</f>
        <v>3,1</v>
      </c>
      <c r="B59" s="23" t="str">
        <f>Source!F28</f>
        <v>1.8-1-70</v>
      </c>
      <c r="C59" s="10" t="str">
        <f>Source!G28</f>
        <v>ДОВОДЧИКИ ДВЕРНЫЕ, МАРКА 'NORA-M' №2S, МАССА ДВЕРИ ДО 50 КГ</v>
      </c>
      <c r="D59" s="24" t="str">
        <f>Source!H28</f>
        <v>шт.</v>
      </c>
      <c r="E59" s="6">
        <f>ROUND(Source!I28,6)</f>
        <v>1</v>
      </c>
      <c r="F59" s="11">
        <f>IF(Source!AL28=0,Source!AK28,Source!AL28)</f>
        <v>328.34</v>
      </c>
      <c r="G59" s="25">
        <f>Source!DD28</f>
      </c>
      <c r="H59" s="6">
        <f>Source!AW28</f>
        <v>1</v>
      </c>
      <c r="I59" s="6">
        <f>Source!BC28</f>
        <v>1.24</v>
      </c>
      <c r="J59" s="11">
        <f>Source!O28</f>
        <v>407.14</v>
      </c>
      <c r="K59" s="6"/>
      <c r="O59">
        <f>IF(Source!BI28=1,(0),0)</f>
        <v>0</v>
      </c>
      <c r="P59">
        <f>IF(Source!BI28=2,(0),0)</f>
        <v>0</v>
      </c>
      <c r="Q59">
        <f>IF(Source!BI28=3,(0),0)</f>
        <v>0</v>
      </c>
      <c r="R59">
        <f>IF(Source!BI28=4,(0),0)</f>
        <v>0</v>
      </c>
      <c r="U59">
        <f>IF(Source!BI28=1,Source!O28+Source!X28+Source!Y28,0)</f>
        <v>407.14</v>
      </c>
      <c r="V59">
        <f>IF(Source!BI28=2,Source!O28+Source!X28+Source!Y28,0)</f>
        <v>0</v>
      </c>
      <c r="W59">
        <f>IF(Source!BI28=3,Source!O28+Source!X28+Source!Y28,0)</f>
        <v>0</v>
      </c>
      <c r="X59">
        <f>IF(Source!BI28=4,Source!O28+Source!X28+Source!Y28,0)</f>
        <v>0</v>
      </c>
      <c r="Y59">
        <v>5</v>
      </c>
    </row>
    <row r="60" spans="1:11" ht="12.75">
      <c r="A60" s="6"/>
      <c r="B60" s="6"/>
      <c r="C60" s="6" t="s">
        <v>222</v>
      </c>
      <c r="D60" s="6" t="s">
        <v>223</v>
      </c>
      <c r="E60" s="6">
        <f>Source!AT27</f>
        <v>89</v>
      </c>
      <c r="F60" s="6"/>
      <c r="G60" s="6"/>
      <c r="H60" s="6"/>
      <c r="I60" s="6"/>
      <c r="J60" s="11">
        <f>Source!X27</f>
        <v>55.88</v>
      </c>
      <c r="K60" s="6"/>
    </row>
    <row r="61" spans="1:11" ht="12.75">
      <c r="A61" s="6"/>
      <c r="B61" s="6"/>
      <c r="C61" s="6" t="s">
        <v>224</v>
      </c>
      <c r="D61" s="6" t="s">
        <v>223</v>
      </c>
      <c r="E61" s="6">
        <f>Source!AU27</f>
        <v>44</v>
      </c>
      <c r="F61" s="6"/>
      <c r="G61" s="6"/>
      <c r="H61" s="6"/>
      <c r="I61" s="6"/>
      <c r="J61" s="11">
        <f>Source!Y27</f>
        <v>27.63</v>
      </c>
      <c r="K61" s="6"/>
    </row>
    <row r="62" spans="1:11" ht="12.75">
      <c r="A62" s="6"/>
      <c r="B62" s="6"/>
      <c r="C62" s="6" t="s">
        <v>225</v>
      </c>
      <c r="D62" s="6" t="s">
        <v>223</v>
      </c>
      <c r="E62" s="6">
        <v>169</v>
      </c>
      <c r="F62" s="6"/>
      <c r="G62" s="6"/>
      <c r="H62" s="6"/>
      <c r="I62" s="6"/>
      <c r="J62" s="11">
        <f>ROUND(Source!R27*E62/100,2)</f>
        <v>0.59</v>
      </c>
      <c r="K62" s="6"/>
    </row>
    <row r="63" spans="1:11" ht="12.75">
      <c r="A63" s="27"/>
      <c r="B63" s="27"/>
      <c r="C63" s="27" t="s">
        <v>226</v>
      </c>
      <c r="D63" s="27" t="s">
        <v>227</v>
      </c>
      <c r="E63" s="27">
        <f>Source!AQ27</f>
        <v>0.27</v>
      </c>
      <c r="F63" s="27"/>
      <c r="G63" s="28" t="str">
        <f>Source!DI27</f>
        <v>*1,15</v>
      </c>
      <c r="H63" s="27">
        <f>Source!AV27</f>
        <v>1.047</v>
      </c>
      <c r="I63" s="27"/>
      <c r="J63" s="27"/>
      <c r="K63" s="29">
        <f>Source!U27</f>
        <v>0.3250935</v>
      </c>
    </row>
    <row r="64" spans="9:24" ht="12.75">
      <c r="I64" s="63">
        <f>Source!S27+Source!Q27+SUM(J58:J62)</f>
        <v>555.3499999999999</v>
      </c>
      <c r="J64" s="63"/>
      <c r="K64" s="30">
        <f>IF(Source!I27&lt;&gt;0,ROUND(I64/Source!I27,2),0)</f>
        <v>555.35</v>
      </c>
      <c r="O64">
        <f>IF(Source!BI27=1,(IF(Source!BA27&lt;&gt;0,Source!S27/Source!BA27,Source!S27)+IF(Source!BB27&lt;&gt;0,Source!Q27/Source!BB27,Source!Q27)+IF(Source!BC27&lt;&gt;0,Source!P27/Source!BC27,Source!P27)+((Source!DN27/100)*(Source!S27/IF(Source!BA27&lt;&gt;0,Source!BA27,1)))+((Source!DO27/100)*(Source!S27/IF(Source!BA27&lt;&gt;0,Source!BA27,1)))+((Source!R27/IF(Source!BS27&lt;&gt;0,Source!BS27,1))*1.75)),0)</f>
        <v>13.129365123732855</v>
      </c>
      <c r="P64">
        <f>IF(Source!BI27=2,(IF(Source!BA27&lt;&gt;0,Source!S27/Source!BA27,Source!S27)+IF(Source!BB27&lt;&gt;0,Source!Q27/Source!BB27,Source!Q27)+IF(Source!BC27&lt;&gt;0,Source!P27/Source!BC27,Source!P27)+((Source!DN27/100)*(Source!S27/IF(Source!BA27&lt;&gt;0,Source!BA27,1)))+((Source!DO27/100)*(Source!S27/IF(Source!BA27&lt;&gt;0,Source!BA27,1)))+((Source!R27/IF(Source!BS27&lt;&gt;0,Source!BS27,1))*1.75)),0)</f>
        <v>0</v>
      </c>
      <c r="Q64">
        <f>IF(Source!BI27=3,(IF(Source!BA27&lt;&gt;0,Source!S27/Source!BA27,Source!S27)+IF(Source!BB27&lt;&gt;0,Source!Q27/Source!BB27,Source!Q27)+IF(Source!BC27&lt;&gt;0,Source!P27/Source!BC27,Source!P27)+((Source!DN27/100)*(Source!S27/IF(Source!BA27&lt;&gt;0,Source!BA27,1)))+((Source!DO27/100)*(Source!S27/IF(Source!BA27&lt;&gt;0,Source!BA27,1)))+((Source!R27/IF(Source!BS27&lt;&gt;0,Source!BS27,1))*1.75)),0)</f>
        <v>0</v>
      </c>
      <c r="R64">
        <f>IF(Source!BI27=4,(IF(Source!BA27&lt;&gt;0,Source!S27/Source!BA27,Source!S27)+IF(Source!BB27&lt;&gt;0,Source!Q27/Source!BB27,Source!Q27)+IF(Source!BC27&lt;&gt;0,Source!P27/Source!BC27,Source!P27)+((Source!DN27/100)*(Source!S27/IF(Source!BA27&lt;&gt;0,Source!BA27,1)))+((Source!DO27/100)*(Source!S27/IF(Source!BA27&lt;&gt;0,Source!BA27,1)))+((Source!R27/IF(Source!BS27&lt;&gt;0,Source!BS27,1))*1.75)),0)</f>
        <v>0</v>
      </c>
      <c r="U64">
        <f>IF(Source!BI27=1,Source!O27+Source!X27+Source!Y27+Source!R27*169/100,0)</f>
        <v>148.2115</v>
      </c>
      <c r="V64">
        <f>IF(Source!BI27=2,Source!O27+Source!X27+Source!Y27+Source!R27*169/100,0)</f>
        <v>0</v>
      </c>
      <c r="W64">
        <f>IF(Source!BI27=3,Source!O27+Source!X27+Source!Y27+Source!R27*169/100,0)</f>
        <v>0</v>
      </c>
      <c r="X64">
        <f>IF(Source!BI27=4,Source!O27+Source!X27+Source!Y27+Source!R27*169/100,0)</f>
        <v>0</v>
      </c>
    </row>
    <row r="65" spans="1:25" ht="60">
      <c r="A65" s="23" t="str">
        <f>Source!E29</f>
        <v>4</v>
      </c>
      <c r="B65" s="23" t="str">
        <f>Source!F29</f>
        <v>6.61-30-1</v>
      </c>
      <c r="C65" s="10" t="str">
        <f>Source!G29</f>
        <v>УСТРОЙСТВО ОСНОВАНИЯ ПОД ШТУКАТУРКУ ИЗ МЕТАЛЛИЧЕСКОЙ СЕТКИ ПО КИРПИЧНЫМ И БЕТОННЫМ ПОВЕРХНОСТЯМ</v>
      </c>
      <c r="D65" s="24" t="str">
        <f>Source!H29</f>
        <v>100 м2</v>
      </c>
      <c r="E65" s="6">
        <f>ROUND(Source!I29,6)</f>
        <v>0.0132</v>
      </c>
      <c r="F65" s="6"/>
      <c r="G65" s="6"/>
      <c r="H65" s="6"/>
      <c r="I65" s="6"/>
      <c r="J65" s="6"/>
      <c r="K65" s="6"/>
      <c r="Y65">
        <v>6</v>
      </c>
    </row>
    <row r="66" spans="1:11" ht="12.75">
      <c r="A66" s="6"/>
      <c r="B66" s="6"/>
      <c r="C66" s="6" t="s">
        <v>218</v>
      </c>
      <c r="D66" s="6"/>
      <c r="E66" s="6"/>
      <c r="F66" s="11">
        <f>Source!AO29</f>
        <v>833.95</v>
      </c>
      <c r="G66" s="25">
        <f>Source!DG29</f>
      </c>
      <c r="H66" s="6">
        <f>Source!AV29</f>
        <v>1.025</v>
      </c>
      <c r="I66" s="6">
        <f>Source!BA29</f>
        <v>13.44</v>
      </c>
      <c r="J66" s="11">
        <f>Source!S29</f>
        <v>151.65</v>
      </c>
      <c r="K66" s="6"/>
    </row>
    <row r="67" spans="1:11" ht="12.75">
      <c r="A67" s="6"/>
      <c r="B67" s="6"/>
      <c r="C67" s="6" t="s">
        <v>219</v>
      </c>
      <c r="D67" s="6"/>
      <c r="E67" s="6"/>
      <c r="F67" s="11">
        <f>Source!AM29</f>
        <v>0</v>
      </c>
      <c r="G67" s="25">
        <f>Source!DE29</f>
      </c>
      <c r="H67" s="6">
        <f>Source!AV29</f>
        <v>1.025</v>
      </c>
      <c r="I67" s="6">
        <f>Source!BB29</f>
        <v>1</v>
      </c>
      <c r="J67" s="11">
        <f>Source!Q29</f>
        <v>0</v>
      </c>
      <c r="K67" s="6"/>
    </row>
    <row r="68" spans="1:11" ht="12.75">
      <c r="A68" s="6"/>
      <c r="B68" s="6"/>
      <c r="C68" s="6" t="s">
        <v>220</v>
      </c>
      <c r="D68" s="6"/>
      <c r="E68" s="6"/>
      <c r="F68" s="11">
        <f>Source!AN29</f>
        <v>0</v>
      </c>
      <c r="G68" s="25">
        <f>Source!DF29</f>
      </c>
      <c r="H68" s="6">
        <f>Source!AV29</f>
        <v>1.025</v>
      </c>
      <c r="I68" s="6">
        <f>Source!BS29</f>
        <v>13.44</v>
      </c>
      <c r="J68" s="26" t="str">
        <f>CONCATENATE("(",TEXT(+Source!R29,"0,00"),")")</f>
        <v>(0,00)</v>
      </c>
      <c r="K68" s="6"/>
    </row>
    <row r="69" spans="1:11" ht="12.75">
      <c r="A69" s="6"/>
      <c r="B69" s="6"/>
      <c r="C69" s="6" t="s">
        <v>221</v>
      </c>
      <c r="D69" s="6"/>
      <c r="E69" s="6"/>
      <c r="F69" s="11">
        <f>Source!AL29</f>
        <v>0</v>
      </c>
      <c r="G69" s="6">
        <f>Source!DD29</f>
      </c>
      <c r="H69" s="6">
        <f>Source!AW29</f>
        <v>1</v>
      </c>
      <c r="I69" s="6">
        <f>Source!BC29</f>
        <v>1</v>
      </c>
      <c r="J69" s="11">
        <f>Source!P29</f>
        <v>0</v>
      </c>
      <c r="K69" s="6"/>
    </row>
    <row r="70" spans="1:25" ht="36">
      <c r="A70" s="23" t="str">
        <f>Source!E30</f>
        <v>4,1</v>
      </c>
      <c r="B70" s="23" t="str">
        <f>Source!F30</f>
        <v>1.1-1-1029</v>
      </c>
      <c r="C70" s="10" t="str">
        <f>Source!G30</f>
        <v>СЕТКА ПРОВОЛОЧНАЯ ШТУКАТУРНАЯ ТКАНАЯ, КВАДРАТ 5Х5 ММ, ТОЛЩИНА 1,6 ММ</v>
      </c>
      <c r="D70" s="24" t="str">
        <f>Source!H30</f>
        <v>м2</v>
      </c>
      <c r="E70" s="6">
        <f>ROUND(Source!I30,6)</f>
        <v>1.452</v>
      </c>
      <c r="F70" s="11">
        <f>IF(Source!AL30=0,Source!AK30,Source!AL30)</f>
        <v>33.56</v>
      </c>
      <c r="G70" s="25">
        <f>Source!DD30</f>
      </c>
      <c r="H70" s="6">
        <f>Source!AW30</f>
        <v>1</v>
      </c>
      <c r="I70" s="6">
        <f>Source!BC30</f>
        <v>9.54</v>
      </c>
      <c r="J70" s="11">
        <f>Source!O30</f>
        <v>464.88</v>
      </c>
      <c r="K70" s="6"/>
      <c r="O70">
        <f>IF(Source!BI30=1,(0),0)</f>
        <v>0</v>
      </c>
      <c r="P70">
        <f>IF(Source!BI30=2,(0),0)</f>
        <v>0</v>
      </c>
      <c r="Q70">
        <f>IF(Source!BI30=3,(0),0)</f>
        <v>0</v>
      </c>
      <c r="R70">
        <f>IF(Source!BI30=4,(0),0)</f>
        <v>0</v>
      </c>
      <c r="U70">
        <f>IF(Source!BI30=1,Source!O30+Source!X30+Source!Y30,0)</f>
        <v>464.88</v>
      </c>
      <c r="V70">
        <f>IF(Source!BI30=2,Source!O30+Source!X30+Source!Y30,0)</f>
        <v>0</v>
      </c>
      <c r="W70">
        <f>IF(Source!BI30=3,Source!O30+Source!X30+Source!Y30,0)</f>
        <v>0</v>
      </c>
      <c r="X70">
        <f>IF(Source!BI30=4,Source!O30+Source!X30+Source!Y30,0)</f>
        <v>0</v>
      </c>
      <c r="Y70">
        <v>7</v>
      </c>
    </row>
    <row r="71" spans="1:25" ht="24">
      <c r="A71" s="23" t="str">
        <f>Source!E31</f>
        <v>4,2</v>
      </c>
      <c r="B71" s="23" t="str">
        <f>Source!F31</f>
        <v>1.1-1-146</v>
      </c>
      <c r="C71" s="10" t="str">
        <f>Source!G31</f>
        <v>ГИПСОВЫЕ ВЯЖУЩИЕ (ГИПС) ДЛЯ ШТУКАТУРНЫХ РАБОТ</v>
      </c>
      <c r="D71" s="24" t="str">
        <f>Source!H31</f>
        <v>т</v>
      </c>
      <c r="E71" s="6">
        <f>ROUND(Source!I31,6)</f>
        <v>0.0033</v>
      </c>
      <c r="F71" s="11">
        <f>IF(Source!AL31=0,Source!AK31,Source!AL31)</f>
        <v>1227.38</v>
      </c>
      <c r="G71" s="25">
        <f>Source!DD31</f>
      </c>
      <c r="H71" s="6">
        <f>Source!AW31</f>
        <v>1</v>
      </c>
      <c r="I71" s="6">
        <f>Source!BC31</f>
        <v>2.57</v>
      </c>
      <c r="J71" s="11">
        <f>Source!O31</f>
        <v>10.41</v>
      </c>
      <c r="K71" s="6"/>
      <c r="O71">
        <f>IF(Source!BI31=1,(0),0)</f>
        <v>0</v>
      </c>
      <c r="P71">
        <f>IF(Source!BI31=2,(0),0)</f>
        <v>0</v>
      </c>
      <c r="Q71">
        <f>IF(Source!BI31=3,(0),0)</f>
        <v>0</v>
      </c>
      <c r="R71">
        <f>IF(Source!BI31=4,(0),0)</f>
        <v>0</v>
      </c>
      <c r="U71">
        <f>IF(Source!BI31=1,Source!O31+Source!X31+Source!Y31,0)</f>
        <v>10.41</v>
      </c>
      <c r="V71">
        <f>IF(Source!BI31=2,Source!O31+Source!X31+Source!Y31,0)</f>
        <v>0</v>
      </c>
      <c r="W71">
        <f>IF(Source!BI31=3,Source!O31+Source!X31+Source!Y31,0)</f>
        <v>0</v>
      </c>
      <c r="X71">
        <f>IF(Source!BI31=4,Source!O31+Source!X31+Source!Y31,0)</f>
        <v>0</v>
      </c>
      <c r="Y71">
        <v>8</v>
      </c>
    </row>
    <row r="72" spans="1:11" ht="12.75">
      <c r="A72" s="6"/>
      <c r="B72" s="6"/>
      <c r="C72" s="6" t="s">
        <v>222</v>
      </c>
      <c r="D72" s="6" t="s">
        <v>223</v>
      </c>
      <c r="E72" s="6">
        <f>Source!AT29</f>
        <v>85</v>
      </c>
      <c r="F72" s="6"/>
      <c r="G72" s="6"/>
      <c r="H72" s="6"/>
      <c r="I72" s="6"/>
      <c r="J72" s="11">
        <f>Source!X29</f>
        <v>128.9</v>
      </c>
      <c r="K72" s="6"/>
    </row>
    <row r="73" spans="1:11" ht="12.75">
      <c r="A73" s="6"/>
      <c r="B73" s="6"/>
      <c r="C73" s="6" t="s">
        <v>224</v>
      </c>
      <c r="D73" s="6" t="s">
        <v>223</v>
      </c>
      <c r="E73" s="6">
        <f>Source!AU29</f>
        <v>44</v>
      </c>
      <c r="F73" s="6"/>
      <c r="G73" s="6"/>
      <c r="H73" s="6"/>
      <c r="I73" s="6"/>
      <c r="J73" s="11">
        <f>Source!Y29</f>
        <v>66.73</v>
      </c>
      <c r="K73" s="6"/>
    </row>
    <row r="74" spans="1:11" ht="12.75">
      <c r="A74" s="6"/>
      <c r="B74" s="6"/>
      <c r="C74" s="6" t="s">
        <v>225</v>
      </c>
      <c r="D74" s="6" t="s">
        <v>223</v>
      </c>
      <c r="E74" s="6">
        <v>169</v>
      </c>
      <c r="F74" s="6"/>
      <c r="G74" s="6"/>
      <c r="H74" s="6"/>
      <c r="I74" s="6"/>
      <c r="J74" s="11">
        <f>ROUND(Source!R29*E74/100,2)</f>
        <v>0</v>
      </c>
      <c r="K74" s="6"/>
    </row>
    <row r="75" spans="1:11" ht="12.75">
      <c r="A75" s="27"/>
      <c r="B75" s="27"/>
      <c r="C75" s="27" t="s">
        <v>226</v>
      </c>
      <c r="D75" s="27" t="s">
        <v>227</v>
      </c>
      <c r="E75" s="27">
        <f>Source!AQ29</f>
        <v>81.6</v>
      </c>
      <c r="F75" s="27"/>
      <c r="G75" s="28">
        <f>Source!DI29</f>
      </c>
      <c r="H75" s="27">
        <f>Source!AV29</f>
        <v>1.025</v>
      </c>
      <c r="I75" s="27"/>
      <c r="J75" s="27"/>
      <c r="K75" s="29">
        <f>Source!U29</f>
        <v>1.104048</v>
      </c>
    </row>
    <row r="76" spans="9:24" ht="12.75">
      <c r="I76" s="63">
        <f>Source!S29+Source!Q29+SUM(J69:J74)</f>
        <v>822.57</v>
      </c>
      <c r="J76" s="63"/>
      <c r="K76" s="30">
        <f>IF(Source!I29&lt;&gt;0,ROUND(I76/Source!I29,2),0)</f>
        <v>62315.91</v>
      </c>
      <c r="O76">
        <f>IF(Source!BI29=1,(IF(Source!BA29&lt;&gt;0,Source!S29/Source!BA29,Source!S29)+IF(Source!BB29&lt;&gt;0,Source!Q29/Source!BB29,Source!Q29)+IF(Source!BC29&lt;&gt;0,Source!P29/Source!BC29,Source!P29)+((Source!DN29/100)*(Source!S29/IF(Source!BA29&lt;&gt;0,Source!BA29,1)))+((Source!DO29/100)*(Source!S29/IF(Source!BA29&lt;&gt;0,Source!BA29,1)))+((Source!R29/IF(Source!BS29&lt;&gt;0,Source!BS29,1))*1.75)),0)</f>
        <v>29.78839285714286</v>
      </c>
      <c r="P76">
        <f>IF(Source!BI29=2,(IF(Source!BA29&lt;&gt;0,Source!S29/Source!BA29,Source!S29)+IF(Source!BB29&lt;&gt;0,Source!Q29/Source!BB29,Source!Q29)+IF(Source!BC29&lt;&gt;0,Source!P29/Source!BC29,Source!P29)+((Source!DN29/100)*(Source!S29/IF(Source!BA29&lt;&gt;0,Source!BA29,1)))+((Source!DO29/100)*(Source!S29/IF(Source!BA29&lt;&gt;0,Source!BA29,1)))+((Source!R29/IF(Source!BS29&lt;&gt;0,Source!BS29,1))*1.75)),0)</f>
        <v>0</v>
      </c>
      <c r="Q76">
        <f>IF(Source!BI29=3,(IF(Source!BA29&lt;&gt;0,Source!S29/Source!BA29,Source!S29)+IF(Source!BB29&lt;&gt;0,Source!Q29/Source!BB29,Source!Q29)+IF(Source!BC29&lt;&gt;0,Source!P29/Source!BC29,Source!P29)+((Source!DN29/100)*(Source!S29/IF(Source!BA29&lt;&gt;0,Source!BA29,1)))+((Source!DO29/100)*(Source!S29/IF(Source!BA29&lt;&gt;0,Source!BA29,1)))+((Source!R29/IF(Source!BS29&lt;&gt;0,Source!BS29,1))*1.75)),0)</f>
        <v>0</v>
      </c>
      <c r="R76">
        <f>IF(Source!BI29=4,(IF(Source!BA29&lt;&gt;0,Source!S29/Source!BA29,Source!S29)+IF(Source!BB29&lt;&gt;0,Source!Q29/Source!BB29,Source!Q29)+IF(Source!BC29&lt;&gt;0,Source!P29/Source!BC29,Source!P29)+((Source!DN29/100)*(Source!S29/IF(Source!BA29&lt;&gt;0,Source!BA29,1)))+((Source!DO29/100)*(Source!S29/IF(Source!BA29&lt;&gt;0,Source!BA29,1)))+((Source!R29/IF(Source!BS29&lt;&gt;0,Source!BS29,1))*1.75)),0)</f>
        <v>0</v>
      </c>
      <c r="U76">
        <f>IF(Source!BI29=1,Source!O29+Source!X29+Source!Y29+Source!R29*169/100,0)</f>
        <v>347.28000000000003</v>
      </c>
      <c r="V76">
        <f>IF(Source!BI29=2,Source!O29+Source!X29+Source!Y29+Source!R29*169/100,0)</f>
        <v>0</v>
      </c>
      <c r="W76">
        <f>IF(Source!BI29=3,Source!O29+Source!X29+Source!Y29+Source!R29*169/100,0)</f>
        <v>0</v>
      </c>
      <c r="X76">
        <f>IF(Source!BI29=4,Source!O29+Source!X29+Source!Y29+Source!R29*169/100,0)</f>
        <v>0</v>
      </c>
    </row>
    <row r="77" spans="1:25" ht="36">
      <c r="A77" s="23" t="str">
        <f>Source!E32</f>
        <v>5</v>
      </c>
      <c r="B77" s="23" t="str">
        <f>Source!F32</f>
        <v>3.15-57-1</v>
      </c>
      <c r="C77" s="10" t="str">
        <f>Source!G32</f>
        <v>ШТУКАТУРКА ПОВЕРХНОСТЕЙ ОКОННЫХ И ДВЕРНЫХ ОТКОСОВ ПО БЕТОНУ И КАМНЮ ПЛОСКИХ</v>
      </c>
      <c r="D77" s="24" t="str">
        <f>Source!H32</f>
        <v>100 м2</v>
      </c>
      <c r="E77" s="6">
        <f>ROUND(Source!I32,6)</f>
        <v>0.0132</v>
      </c>
      <c r="F77" s="6"/>
      <c r="G77" s="6"/>
      <c r="H77" s="6"/>
      <c r="I77" s="6"/>
      <c r="J77" s="6"/>
      <c r="K77" s="6"/>
      <c r="Y77">
        <v>9</v>
      </c>
    </row>
    <row r="78" spans="1:11" ht="12.75">
      <c r="A78" s="6"/>
      <c r="B78" s="6"/>
      <c r="C78" s="6" t="s">
        <v>218</v>
      </c>
      <c r="D78" s="6"/>
      <c r="E78" s="6"/>
      <c r="F78" s="11">
        <f>Source!AO32</f>
        <v>2235.71</v>
      </c>
      <c r="G78" s="25" t="str">
        <f>Source!DG32</f>
        <v>*1,15</v>
      </c>
      <c r="H78" s="6">
        <f>Source!AV32</f>
        <v>1.025</v>
      </c>
      <c r="I78" s="6">
        <f>Source!BA32</f>
        <v>13.44</v>
      </c>
      <c r="J78" s="11">
        <f>Source!S32</f>
        <v>467.53</v>
      </c>
      <c r="K78" s="6"/>
    </row>
    <row r="79" spans="1:11" ht="12.75">
      <c r="A79" s="6"/>
      <c r="B79" s="6"/>
      <c r="C79" s="6" t="s">
        <v>219</v>
      </c>
      <c r="D79" s="6"/>
      <c r="E79" s="6"/>
      <c r="F79" s="11">
        <f>Source!AM32</f>
        <v>87.09</v>
      </c>
      <c r="G79" s="25" t="str">
        <f>Source!DE32</f>
        <v>*1,25</v>
      </c>
      <c r="H79" s="6">
        <f>Source!AV32</f>
        <v>1.025</v>
      </c>
      <c r="I79" s="6">
        <f>Source!BB32</f>
        <v>7.74</v>
      </c>
      <c r="J79" s="11">
        <f>Source!Q32</f>
        <v>11.4</v>
      </c>
      <c r="K79" s="6"/>
    </row>
    <row r="80" spans="1:11" ht="12.75">
      <c r="A80" s="6"/>
      <c r="B80" s="6"/>
      <c r="C80" s="6" t="s">
        <v>220</v>
      </c>
      <c r="D80" s="6"/>
      <c r="E80" s="6"/>
      <c r="F80" s="11">
        <f>Source!AN32</f>
        <v>20.58</v>
      </c>
      <c r="G80" s="25" t="str">
        <f>Source!DF32</f>
        <v>*1,25</v>
      </c>
      <c r="H80" s="6">
        <f>Source!AV32</f>
        <v>1.025</v>
      </c>
      <c r="I80" s="6">
        <f>Source!BS32</f>
        <v>13.44</v>
      </c>
      <c r="J80" s="26" t="str">
        <f>CONCATENATE("(",TEXT(+Source!R32,"0,00"),")")</f>
        <v>(4,68)</v>
      </c>
      <c r="K80" s="6"/>
    </row>
    <row r="81" spans="1:11" ht="12.75">
      <c r="A81" s="6"/>
      <c r="B81" s="6"/>
      <c r="C81" s="6" t="s">
        <v>221</v>
      </c>
      <c r="D81" s="6"/>
      <c r="E81" s="6"/>
      <c r="F81" s="11">
        <f>Source!AL32</f>
        <v>0.71</v>
      </c>
      <c r="G81" s="6">
        <f>Source!DD32</f>
      </c>
      <c r="H81" s="6">
        <f>Source!AW32</f>
        <v>1</v>
      </c>
      <c r="I81" s="6">
        <f>Source!BC32</f>
        <v>4.56</v>
      </c>
      <c r="J81" s="11">
        <f>Source!P32</f>
        <v>0.04</v>
      </c>
      <c r="K81" s="6"/>
    </row>
    <row r="82" spans="1:25" ht="12.75">
      <c r="A82" s="23" t="str">
        <f>Source!E33</f>
        <v>5,1</v>
      </c>
      <c r="B82" s="23" t="str">
        <f>Source!F33</f>
        <v>1.1-1-118</v>
      </c>
      <c r="C82" s="10" t="str">
        <f>Source!G33</f>
        <v>ВОДА</v>
      </c>
      <c r="D82" s="24" t="str">
        <f>Source!H33</f>
        <v>м3</v>
      </c>
      <c r="E82" s="6">
        <f>ROUND(Source!I33,6)</f>
        <v>0.003252</v>
      </c>
      <c r="F82" s="11">
        <f>IF(Source!AL33=0,Source!AK33,Source!AL33)</f>
        <v>7.07</v>
      </c>
      <c r="G82" s="25">
        <f>Source!DD33</f>
      </c>
      <c r="H82" s="6">
        <f>Source!AW33</f>
        <v>1</v>
      </c>
      <c r="I82" s="6">
        <f>Source!BC33</f>
        <v>3.59</v>
      </c>
      <c r="J82" s="11">
        <f>Source!O33</f>
        <v>0.08</v>
      </c>
      <c r="K82" s="6"/>
      <c r="O82">
        <f>IF(Source!BI33=1,(0),0)</f>
        <v>0</v>
      </c>
      <c r="P82">
        <f>IF(Source!BI33=2,(0),0)</f>
        <v>0</v>
      </c>
      <c r="Q82">
        <f>IF(Source!BI33=3,(0),0)</f>
        <v>0</v>
      </c>
      <c r="R82">
        <f>IF(Source!BI33=4,(0),0)</f>
        <v>0</v>
      </c>
      <c r="U82">
        <f>IF(Source!BI33=1,Source!O33+Source!X33+Source!Y33,0)</f>
        <v>0.08</v>
      </c>
      <c r="V82">
        <f>IF(Source!BI33=2,Source!O33+Source!X33+Source!Y33,0)</f>
        <v>0</v>
      </c>
      <c r="W82">
        <f>IF(Source!BI33=3,Source!O33+Source!X33+Source!Y33,0)</f>
        <v>0</v>
      </c>
      <c r="X82">
        <f>IF(Source!BI33=4,Source!O33+Source!X33+Source!Y33,0)</f>
        <v>0</v>
      </c>
      <c r="Y82">
        <v>10</v>
      </c>
    </row>
    <row r="83" spans="1:25" ht="84">
      <c r="A83" s="23" t="str">
        <f>Source!E34</f>
        <v>5,2</v>
      </c>
      <c r="B83" s="23" t="str">
        <f>Source!F34</f>
        <v>1.3-2-26</v>
      </c>
      <c r="C83" s="10" t="str">
        <f>Source!G34</f>
        <v>СМЕСИ СУХИЕ ШТУКАТУРНЫЕ ЦЕМЕНТНО-ПЕСЧАНЫЕ ДЛЯ ВНУТРЕННИХ И НАРУЖНЫХ РАБОТ, УЛУЧШЕННЫЕ С ИМПОРТНЫМИ ДОБАВКАМИ: В12,5 (М150), F50, КРУПНОСТЬ ЗАПОЛНИТЕЛЯ НЕ БОЛЕЕ 0,5 ММ</v>
      </c>
      <c r="D83" s="24" t="str">
        <f>Source!H34</f>
        <v>т</v>
      </c>
      <c r="E83" s="6">
        <f>ROUND(Source!I34,6)</f>
        <v>0.018586</v>
      </c>
      <c r="F83" s="11">
        <f>IF(Source!AL34=0,Source!AK34,Source!AL34)</f>
        <v>1823.55</v>
      </c>
      <c r="G83" s="25">
        <f>Source!DD34</f>
      </c>
      <c r="H83" s="6">
        <f>Source!AW34</f>
        <v>1</v>
      </c>
      <c r="I83" s="6">
        <f>Source!BC34</f>
        <v>2.19</v>
      </c>
      <c r="J83" s="11">
        <f>Source!O34</f>
        <v>74.22</v>
      </c>
      <c r="K83" s="6"/>
      <c r="O83">
        <f>IF(Source!BI34=1,(0),0)</f>
        <v>0</v>
      </c>
      <c r="P83">
        <f>IF(Source!BI34=2,(0),0)</f>
        <v>0</v>
      </c>
      <c r="Q83">
        <f>IF(Source!BI34=3,(0),0)</f>
        <v>0</v>
      </c>
      <c r="R83">
        <f>IF(Source!BI34=4,(0),0)</f>
        <v>0</v>
      </c>
      <c r="U83">
        <f>IF(Source!BI34=1,Source!O34+Source!X34+Source!Y34,0)</f>
        <v>74.22</v>
      </c>
      <c r="V83">
        <f>IF(Source!BI34=2,Source!O34+Source!X34+Source!Y34,0)</f>
        <v>0</v>
      </c>
      <c r="W83">
        <f>IF(Source!BI34=3,Source!O34+Source!X34+Source!Y34,0)</f>
        <v>0</v>
      </c>
      <c r="X83">
        <f>IF(Source!BI34=4,Source!O34+Source!X34+Source!Y34,0)</f>
        <v>0</v>
      </c>
      <c r="Y83">
        <v>11</v>
      </c>
    </row>
    <row r="84" spans="1:25" ht="24">
      <c r="A84" s="23" t="str">
        <f>Source!E35</f>
        <v>5,3</v>
      </c>
      <c r="B84" s="23" t="str">
        <f>Source!F35</f>
        <v>1.3-2-13</v>
      </c>
      <c r="C84" s="10" t="str">
        <f>Source!G35</f>
        <v>РАСТВОРЫ ЦЕМЕНТНО-ИЗВЕСТКОВЫЕ, МАРКА 75</v>
      </c>
      <c r="D84" s="24" t="str">
        <f>Source!H35</f>
        <v>м3</v>
      </c>
      <c r="E84" s="6">
        <f>ROUND(Source!I35,6)</f>
        <v>0.001056</v>
      </c>
      <c r="F84" s="11">
        <f>IF(Source!AL35=0,Source!AK35,Source!AL35)</f>
        <v>481.69</v>
      </c>
      <c r="G84" s="25">
        <f>Source!DD35</f>
      </c>
      <c r="H84" s="6">
        <f>Source!AW35</f>
        <v>1</v>
      </c>
      <c r="I84" s="6">
        <f>Source!BC35</f>
        <v>6.47</v>
      </c>
      <c r="J84" s="11">
        <f>Source!O35</f>
        <v>3.29</v>
      </c>
      <c r="K84" s="6"/>
      <c r="O84">
        <f>IF(Source!BI35=1,(0),0)</f>
        <v>0</v>
      </c>
      <c r="P84">
        <f>IF(Source!BI35=2,(0),0)</f>
        <v>0</v>
      </c>
      <c r="Q84">
        <f>IF(Source!BI35=3,(0),0)</f>
        <v>0</v>
      </c>
      <c r="R84">
        <f>IF(Source!BI35=4,(0),0)</f>
        <v>0</v>
      </c>
      <c r="U84">
        <f>IF(Source!BI35=1,Source!O35+Source!X35+Source!Y35,0)</f>
        <v>3.29</v>
      </c>
      <c r="V84">
        <f>IF(Source!BI35=2,Source!O35+Source!X35+Source!Y35,0)</f>
        <v>0</v>
      </c>
      <c r="W84">
        <f>IF(Source!BI35=3,Source!O35+Source!X35+Source!Y35,0)</f>
        <v>0</v>
      </c>
      <c r="X84">
        <f>IF(Source!BI35=4,Source!O35+Source!X35+Source!Y35,0)</f>
        <v>0</v>
      </c>
      <c r="Y84">
        <v>12</v>
      </c>
    </row>
    <row r="85" spans="1:25" ht="24">
      <c r="A85" s="23" t="str">
        <f>Source!E36</f>
        <v>5,4</v>
      </c>
      <c r="B85" s="23" t="str">
        <f>Source!F36</f>
        <v>1.3-2-15</v>
      </c>
      <c r="C85" s="10" t="str">
        <f>Source!G36</f>
        <v>РАСТВОР ИЗВЕСТКОВЫЙ, МАРКА 4</v>
      </c>
      <c r="D85" s="24" t="str">
        <f>Source!H36</f>
        <v>м3</v>
      </c>
      <c r="E85" s="6">
        <f>ROUND(Source!I36,6)</f>
        <v>0.044381</v>
      </c>
      <c r="F85" s="11">
        <f>IF(Source!AL36=0,Source!AK36,Source!AL36)</f>
        <v>540.42</v>
      </c>
      <c r="G85" s="25">
        <f>Source!DD36</f>
      </c>
      <c r="H85" s="6">
        <f>Source!AW36</f>
        <v>1</v>
      </c>
      <c r="I85" s="6">
        <f>Source!BC36</f>
        <v>5.36</v>
      </c>
      <c r="J85" s="11">
        <f>Source!O36</f>
        <v>128.56</v>
      </c>
      <c r="K85" s="6"/>
      <c r="O85">
        <f>IF(Source!BI36=1,(0),0)</f>
        <v>0</v>
      </c>
      <c r="P85">
        <f>IF(Source!BI36=2,(0),0)</f>
        <v>0</v>
      </c>
      <c r="Q85">
        <f>IF(Source!BI36=3,(0),0)</f>
        <v>0</v>
      </c>
      <c r="R85">
        <f>IF(Source!BI36=4,(0),0)</f>
        <v>0</v>
      </c>
      <c r="U85">
        <f>IF(Source!BI36=1,Source!O36+Source!X36+Source!Y36,0)</f>
        <v>128.56</v>
      </c>
      <c r="V85">
        <f>IF(Source!BI36=2,Source!O36+Source!X36+Source!Y36,0)</f>
        <v>0</v>
      </c>
      <c r="W85">
        <f>IF(Source!BI36=3,Source!O36+Source!X36+Source!Y36,0)</f>
        <v>0</v>
      </c>
      <c r="X85">
        <f>IF(Source!BI36=4,Source!O36+Source!X36+Source!Y36,0)</f>
        <v>0</v>
      </c>
      <c r="Y85">
        <v>13</v>
      </c>
    </row>
    <row r="86" spans="1:11" ht="12.75">
      <c r="A86" s="6"/>
      <c r="B86" s="6"/>
      <c r="C86" s="6" t="s">
        <v>222</v>
      </c>
      <c r="D86" s="6" t="s">
        <v>223</v>
      </c>
      <c r="E86" s="6">
        <f>Source!AT32</f>
        <v>85</v>
      </c>
      <c r="F86" s="6"/>
      <c r="G86" s="6"/>
      <c r="H86" s="6"/>
      <c r="I86" s="6"/>
      <c r="J86" s="11">
        <f>Source!X32</f>
        <v>397.4</v>
      </c>
      <c r="K86" s="6"/>
    </row>
    <row r="87" spans="1:11" ht="12.75">
      <c r="A87" s="6"/>
      <c r="B87" s="6"/>
      <c r="C87" s="6" t="s">
        <v>224</v>
      </c>
      <c r="D87" s="6" t="s">
        <v>223</v>
      </c>
      <c r="E87" s="6">
        <f>Source!AU32</f>
        <v>44</v>
      </c>
      <c r="F87" s="6"/>
      <c r="G87" s="6"/>
      <c r="H87" s="6"/>
      <c r="I87" s="6"/>
      <c r="J87" s="11">
        <f>Source!Y32</f>
        <v>205.71</v>
      </c>
      <c r="K87" s="6"/>
    </row>
    <row r="88" spans="1:11" ht="12.75">
      <c r="A88" s="6"/>
      <c r="B88" s="6"/>
      <c r="C88" s="6" t="s">
        <v>225</v>
      </c>
      <c r="D88" s="6" t="s">
        <v>223</v>
      </c>
      <c r="E88" s="6">
        <v>169</v>
      </c>
      <c r="F88" s="6"/>
      <c r="G88" s="6"/>
      <c r="H88" s="6"/>
      <c r="I88" s="6"/>
      <c r="J88" s="11">
        <f>ROUND(Source!R32*E88/100,2)</f>
        <v>7.91</v>
      </c>
      <c r="K88" s="6"/>
    </row>
    <row r="89" spans="1:11" ht="12.75">
      <c r="A89" s="27"/>
      <c r="B89" s="27"/>
      <c r="C89" s="27" t="s">
        <v>226</v>
      </c>
      <c r="D89" s="27" t="s">
        <v>227</v>
      </c>
      <c r="E89" s="27">
        <f>Source!AQ32</f>
        <v>179</v>
      </c>
      <c r="F89" s="27"/>
      <c r="G89" s="28" t="str">
        <f>Source!DI32</f>
        <v>*1,15</v>
      </c>
      <c r="H89" s="27">
        <f>Source!AV32</f>
        <v>1.025</v>
      </c>
      <c r="I89" s="27"/>
      <c r="J89" s="27"/>
      <c r="K89" s="29">
        <f>Source!U32</f>
        <v>2.7851505</v>
      </c>
    </row>
    <row r="90" spans="9:24" ht="12.75">
      <c r="I90" s="63">
        <f>Source!S32+Source!Q32+SUM(J81:J88)</f>
        <v>1296.1399999999999</v>
      </c>
      <c r="J90" s="63"/>
      <c r="K90" s="30">
        <f>IF(Source!I32&lt;&gt;0,ROUND(I90/Source!I32,2),0)</f>
        <v>98192.42</v>
      </c>
      <c r="O90">
        <f>IF(Source!BI32=1,(IF(Source!BA32&lt;&gt;0,Source!S32/Source!BA32,Source!S32)+IF(Source!BB32&lt;&gt;0,Source!Q32/Source!BB32,Source!Q32)+IF(Source!BC32&lt;&gt;0,Source!P32/Source!BC32,Source!P32)+((Source!DN32/100)*(Source!S32/IF(Source!BA32&lt;&gt;0,Source!BA32,1)))+((Source!DO32/100)*(Source!S32/IF(Source!BA32&lt;&gt;0,Source!BA32,1)))+((Source!R32/IF(Source!BS32&lt;&gt;0,Source!BS32,1))*1.75)),0)</f>
        <v>93.92726514687884</v>
      </c>
      <c r="P90">
        <f>IF(Source!BI32=2,(IF(Source!BA32&lt;&gt;0,Source!S32/Source!BA32,Source!S32)+IF(Source!BB32&lt;&gt;0,Source!Q32/Source!BB32,Source!Q32)+IF(Source!BC32&lt;&gt;0,Source!P32/Source!BC32,Source!P32)+((Source!DN32/100)*(Source!S32/IF(Source!BA32&lt;&gt;0,Source!BA32,1)))+((Source!DO32/100)*(Source!S32/IF(Source!BA32&lt;&gt;0,Source!BA32,1)))+((Source!R32/IF(Source!BS32&lt;&gt;0,Source!BS32,1))*1.75)),0)</f>
        <v>0</v>
      </c>
      <c r="Q90">
        <f>IF(Source!BI32=3,(IF(Source!BA32&lt;&gt;0,Source!S32/Source!BA32,Source!S32)+IF(Source!BB32&lt;&gt;0,Source!Q32/Source!BB32,Source!Q32)+IF(Source!BC32&lt;&gt;0,Source!P32/Source!BC32,Source!P32)+((Source!DN32/100)*(Source!S32/IF(Source!BA32&lt;&gt;0,Source!BA32,1)))+((Source!DO32/100)*(Source!S32/IF(Source!BA32&lt;&gt;0,Source!BA32,1)))+((Source!R32/IF(Source!BS32&lt;&gt;0,Source!BS32,1))*1.75)),0)</f>
        <v>0</v>
      </c>
      <c r="R90">
        <f>IF(Source!BI32=4,(IF(Source!BA32&lt;&gt;0,Source!S32/Source!BA32,Source!S32)+IF(Source!BB32&lt;&gt;0,Source!Q32/Source!BB32,Source!Q32)+IF(Source!BC32&lt;&gt;0,Source!P32/Source!BC32,Source!P32)+((Source!DN32/100)*(Source!S32/IF(Source!BA32&lt;&gt;0,Source!BA32,1)))+((Source!DO32/100)*(Source!S32/IF(Source!BA32&lt;&gt;0,Source!BA32,1)))+((Source!R32/IF(Source!BS32&lt;&gt;0,Source!BS32,1))*1.75)),0)</f>
        <v>0</v>
      </c>
      <c r="U90">
        <f>IF(Source!BI32=1,Source!O32+Source!X32+Source!Y32+Source!R32*169/100,0)</f>
        <v>1089.9892</v>
      </c>
      <c r="V90">
        <f>IF(Source!BI32=2,Source!O32+Source!X32+Source!Y32+Source!R32*169/100,0)</f>
        <v>0</v>
      </c>
      <c r="W90">
        <f>IF(Source!BI32=3,Source!O32+Source!X32+Source!Y32+Source!R32*169/100,0)</f>
        <v>0</v>
      </c>
      <c r="X90">
        <f>IF(Source!BI32=4,Source!O32+Source!X32+Source!Y32+Source!R32*169/100,0)</f>
        <v>0</v>
      </c>
    </row>
    <row r="91" spans="1:25" ht="36">
      <c r="A91" s="23" t="str">
        <f>Source!E37</f>
        <v>6</v>
      </c>
      <c r="B91" s="23" t="str">
        <f>Source!F37</f>
        <v>3.15-99-8</v>
      </c>
      <c r="C91" s="10" t="str">
        <f>Source!G37</f>
        <v>УЛУЧШЕННАЯ ОКРАСКА КОЛЕРОМ МАСЛЯНЫМ РАЗБЕЛЕННЫМ ОТКОСОВ ПО ШТУКАТУРКЕ</v>
      </c>
      <c r="D91" s="24" t="str">
        <f>Source!H37</f>
        <v>100 м2</v>
      </c>
      <c r="E91" s="6">
        <f>ROUND(Source!I37,6)</f>
        <v>0.0132</v>
      </c>
      <c r="F91" s="6"/>
      <c r="G91" s="6"/>
      <c r="H91" s="6"/>
      <c r="I91" s="6"/>
      <c r="J91" s="6"/>
      <c r="K91" s="6"/>
      <c r="Y91">
        <v>14</v>
      </c>
    </row>
    <row r="92" spans="1:11" ht="12.75">
      <c r="A92" s="6"/>
      <c r="B92" s="6"/>
      <c r="C92" s="6" t="s">
        <v>218</v>
      </c>
      <c r="D92" s="6"/>
      <c r="E92" s="6"/>
      <c r="F92" s="11">
        <f>Source!AO37</f>
        <v>550.37</v>
      </c>
      <c r="G92" s="25" t="str">
        <f>Source!DG37</f>
        <v>*1,15</v>
      </c>
      <c r="H92" s="6">
        <f>Source!AV37</f>
        <v>1.025</v>
      </c>
      <c r="I92" s="6">
        <f>Source!BA37</f>
        <v>13.44</v>
      </c>
      <c r="J92" s="11">
        <f>Source!S37</f>
        <v>115.09</v>
      </c>
      <c r="K92" s="6"/>
    </row>
    <row r="93" spans="1:11" ht="12.75">
      <c r="A93" s="6"/>
      <c r="B93" s="6"/>
      <c r="C93" s="6" t="s">
        <v>219</v>
      </c>
      <c r="D93" s="6"/>
      <c r="E93" s="6"/>
      <c r="F93" s="11">
        <f>Source!AM37</f>
        <v>26.05</v>
      </c>
      <c r="G93" s="25" t="str">
        <f>Source!DE37</f>
        <v>*1,25</v>
      </c>
      <c r="H93" s="6">
        <f>Source!AV37</f>
        <v>1.025</v>
      </c>
      <c r="I93" s="6">
        <f>Source!BB37</f>
        <v>7.74</v>
      </c>
      <c r="J93" s="11">
        <f>Source!Q37</f>
        <v>3.41</v>
      </c>
      <c r="K93" s="6"/>
    </row>
    <row r="94" spans="1:11" ht="12.75">
      <c r="A94" s="6"/>
      <c r="B94" s="6"/>
      <c r="C94" s="6" t="s">
        <v>220</v>
      </c>
      <c r="D94" s="6"/>
      <c r="E94" s="6"/>
      <c r="F94" s="11">
        <f>Source!AN37</f>
        <v>6.16</v>
      </c>
      <c r="G94" s="25" t="str">
        <f>Source!DF37</f>
        <v>*1,25</v>
      </c>
      <c r="H94" s="6">
        <f>Source!AV37</f>
        <v>1.025</v>
      </c>
      <c r="I94" s="6">
        <f>Source!BS37</f>
        <v>13.44</v>
      </c>
      <c r="J94" s="26" t="str">
        <f>CONCATENATE("(",TEXT(+Source!R37,"0,00"),")")</f>
        <v>(1,40)</v>
      </c>
      <c r="K94" s="6"/>
    </row>
    <row r="95" spans="1:11" ht="12.75">
      <c r="A95" s="6"/>
      <c r="B95" s="6"/>
      <c r="C95" s="6" t="s">
        <v>221</v>
      </c>
      <c r="D95" s="6"/>
      <c r="E95" s="6"/>
      <c r="F95" s="11">
        <f>Source!AL37</f>
        <v>4.34</v>
      </c>
      <c r="G95" s="6">
        <f>Source!DD37</f>
      </c>
      <c r="H95" s="6">
        <f>Source!AW37</f>
        <v>1</v>
      </c>
      <c r="I95" s="6">
        <f>Source!BC37</f>
        <v>4.56</v>
      </c>
      <c r="J95" s="11">
        <f>Source!P37</f>
        <v>0.26</v>
      </c>
      <c r="K95" s="6"/>
    </row>
    <row r="96" spans="1:25" ht="12.75">
      <c r="A96" s="23" t="str">
        <f>Source!E38</f>
        <v>6,1</v>
      </c>
      <c r="B96" s="23" t="str">
        <f>Source!F38</f>
        <v>1.1-1-1480</v>
      </c>
      <c r="C96" s="10" t="str">
        <f>Source!G38</f>
        <v>ШПАТЛЕВКА КЛЕЕВАЯ</v>
      </c>
      <c r="D96" s="24" t="str">
        <f>Source!H38</f>
        <v>т</v>
      </c>
      <c r="E96" s="6">
        <f>ROUND(Source!I38,6)</f>
        <v>0.000669</v>
      </c>
      <c r="F96" s="11">
        <f>IF(Source!AL38=0,Source!AK38,Source!AL38)</f>
        <v>3015.62</v>
      </c>
      <c r="G96" s="25">
        <f>Source!DD38</f>
      </c>
      <c r="H96" s="6">
        <f>Source!AW38</f>
        <v>1</v>
      </c>
      <c r="I96" s="6">
        <f>Source!BC38</f>
        <v>4.22</v>
      </c>
      <c r="J96" s="11">
        <f>Source!O38</f>
        <v>8.51</v>
      </c>
      <c r="K96" s="6"/>
      <c r="O96">
        <f>IF(Source!BI38=1,(0),0)</f>
        <v>0</v>
      </c>
      <c r="P96">
        <f>IF(Source!BI38=2,(0),0)</f>
        <v>0</v>
      </c>
      <c r="Q96">
        <f>IF(Source!BI38=3,(0),0)</f>
        <v>0</v>
      </c>
      <c r="R96">
        <f>IF(Source!BI38=4,(0),0)</f>
        <v>0</v>
      </c>
      <c r="U96">
        <f>IF(Source!BI38=1,Source!O38+Source!X38+Source!Y38,0)</f>
        <v>8.51</v>
      </c>
      <c r="V96">
        <f>IF(Source!BI38=2,Source!O38+Source!X38+Source!Y38,0)</f>
        <v>0</v>
      </c>
      <c r="W96">
        <f>IF(Source!BI38=3,Source!O38+Source!X38+Source!Y38,0)</f>
        <v>0</v>
      </c>
      <c r="X96">
        <f>IF(Source!BI38=4,Source!O38+Source!X38+Source!Y38,0)</f>
        <v>0</v>
      </c>
      <c r="Y96">
        <v>15</v>
      </c>
    </row>
    <row r="97" spans="1:25" ht="36">
      <c r="A97" s="23" t="str">
        <f>Source!E39</f>
        <v>6,2</v>
      </c>
      <c r="B97" s="23" t="str">
        <f>Source!F39</f>
        <v>1.1-1-2182</v>
      </c>
      <c r="C97" s="10" t="str">
        <f>Source!G39</f>
        <v>КРАСКИ МАСЛЯНЫЕ ДЛЯ ВНУТРЕННИХ РАБОТ, ГОТОВЫЕ К ПРИМЕНЕНИЮ, МАРКА МА-15 БИО</v>
      </c>
      <c r="D97" s="24" t="str">
        <f>Source!H39</f>
        <v>т</v>
      </c>
      <c r="E97" s="6">
        <f>ROUND(Source!I39,6)</f>
        <v>0.000331</v>
      </c>
      <c r="F97" s="11">
        <f>IF(Source!AL39=0,Source!AK39,Source!AL39)</f>
        <v>42508.19</v>
      </c>
      <c r="G97" s="25">
        <f>Source!DD39</f>
      </c>
      <c r="H97" s="6">
        <f>Source!AW39</f>
        <v>1</v>
      </c>
      <c r="I97" s="6">
        <f>Source!BC39</f>
        <v>1.92</v>
      </c>
      <c r="J97" s="11">
        <f>Source!O39</f>
        <v>27.01</v>
      </c>
      <c r="K97" s="6"/>
      <c r="O97">
        <f>IF(Source!BI39=1,(0),0)</f>
        <v>0</v>
      </c>
      <c r="P97">
        <f>IF(Source!BI39=2,(0),0)</f>
        <v>0</v>
      </c>
      <c r="Q97">
        <f>IF(Source!BI39=3,(0),0)</f>
        <v>0</v>
      </c>
      <c r="R97">
        <f>IF(Source!BI39=4,(0),0)</f>
        <v>0</v>
      </c>
      <c r="U97">
        <f>IF(Source!BI39=1,Source!O39+Source!X39+Source!Y39,0)</f>
        <v>27.01</v>
      </c>
      <c r="V97">
        <f>IF(Source!BI39=2,Source!O39+Source!X39+Source!Y39,0)</f>
        <v>0</v>
      </c>
      <c r="W97">
        <f>IF(Source!BI39=3,Source!O39+Source!X39+Source!Y39,0)</f>
        <v>0</v>
      </c>
      <c r="X97">
        <f>IF(Source!BI39=4,Source!O39+Source!X39+Source!Y39,0)</f>
        <v>0</v>
      </c>
      <c r="Y97">
        <v>16</v>
      </c>
    </row>
    <row r="98" spans="1:25" ht="24">
      <c r="A98" s="23" t="str">
        <f>Source!E40</f>
        <v>6,3</v>
      </c>
      <c r="B98" s="23" t="str">
        <f>Source!F40</f>
        <v>1.1-1-733</v>
      </c>
      <c r="C98" s="10" t="str">
        <f>Source!G40</f>
        <v>ОЛИФА ДЛЯ ОКРАСКИ НАТУРАЛЬНАЯ</v>
      </c>
      <c r="D98" s="24" t="str">
        <f>Source!H40</f>
        <v>кг</v>
      </c>
      <c r="E98" s="6">
        <f>ROUND(Source!I40,6)</f>
        <v>0.16896</v>
      </c>
      <c r="F98" s="11">
        <f>IF(Source!AL40=0,Source!AK40,Source!AL40)</f>
        <v>20.19</v>
      </c>
      <c r="G98" s="25">
        <f>Source!DD40</f>
      </c>
      <c r="H98" s="6">
        <f>Source!AW40</f>
        <v>1</v>
      </c>
      <c r="I98" s="6">
        <f>Source!BC40</f>
        <v>5.65</v>
      </c>
      <c r="J98" s="11">
        <f>Source!O40</f>
        <v>19.27</v>
      </c>
      <c r="K98" s="6"/>
      <c r="O98">
        <f>IF(Source!BI40=1,(0),0)</f>
        <v>0</v>
      </c>
      <c r="P98">
        <f>IF(Source!BI40=2,(0),0)</f>
        <v>0</v>
      </c>
      <c r="Q98">
        <f>IF(Source!BI40=3,(0),0)</f>
        <v>0</v>
      </c>
      <c r="R98">
        <f>IF(Source!BI40=4,(0),0)</f>
        <v>0</v>
      </c>
      <c r="U98">
        <f>IF(Source!BI40=1,Source!O40+Source!X40+Source!Y40,0)</f>
        <v>19.27</v>
      </c>
      <c r="V98">
        <f>IF(Source!BI40=2,Source!O40+Source!X40+Source!Y40,0)</f>
        <v>0</v>
      </c>
      <c r="W98">
        <f>IF(Source!BI40=3,Source!O40+Source!X40+Source!Y40,0)</f>
        <v>0</v>
      </c>
      <c r="X98">
        <f>IF(Source!BI40=4,Source!O40+Source!X40+Source!Y40,0)</f>
        <v>0</v>
      </c>
      <c r="Y98">
        <v>17</v>
      </c>
    </row>
    <row r="99" spans="1:11" ht="12.75">
      <c r="A99" s="6"/>
      <c r="B99" s="6"/>
      <c r="C99" s="6" t="s">
        <v>222</v>
      </c>
      <c r="D99" s="6" t="s">
        <v>223</v>
      </c>
      <c r="E99" s="6">
        <f>Source!AT37</f>
        <v>85</v>
      </c>
      <c r="F99" s="6"/>
      <c r="G99" s="6"/>
      <c r="H99" s="6"/>
      <c r="I99" s="6"/>
      <c r="J99" s="11">
        <f>Source!X37</f>
        <v>97.83</v>
      </c>
      <c r="K99" s="6"/>
    </row>
    <row r="100" spans="1:11" ht="12.75">
      <c r="A100" s="6"/>
      <c r="B100" s="6"/>
      <c r="C100" s="6" t="s">
        <v>224</v>
      </c>
      <c r="D100" s="6" t="s">
        <v>223</v>
      </c>
      <c r="E100" s="6">
        <f>Source!AU37</f>
        <v>44</v>
      </c>
      <c r="F100" s="6"/>
      <c r="G100" s="6"/>
      <c r="H100" s="6"/>
      <c r="I100" s="6"/>
      <c r="J100" s="11">
        <f>Source!Y37</f>
        <v>50.64</v>
      </c>
      <c r="K100" s="6"/>
    </row>
    <row r="101" spans="1:11" ht="12.75">
      <c r="A101" s="6"/>
      <c r="B101" s="6"/>
      <c r="C101" s="6" t="s">
        <v>225</v>
      </c>
      <c r="D101" s="6" t="s">
        <v>223</v>
      </c>
      <c r="E101" s="6">
        <v>169</v>
      </c>
      <c r="F101" s="6"/>
      <c r="G101" s="6"/>
      <c r="H101" s="6"/>
      <c r="I101" s="6"/>
      <c r="J101" s="11">
        <f>ROUND(Source!R37*E101/100,2)</f>
        <v>2.37</v>
      </c>
      <c r="K101" s="6"/>
    </row>
    <row r="102" spans="1:11" ht="12.75">
      <c r="A102" s="27"/>
      <c r="B102" s="27"/>
      <c r="C102" s="27" t="s">
        <v>226</v>
      </c>
      <c r="D102" s="27" t="s">
        <v>227</v>
      </c>
      <c r="E102" s="27">
        <f>Source!AQ37</f>
        <v>46.8</v>
      </c>
      <c r="F102" s="27"/>
      <c r="G102" s="28" t="str">
        <f>Source!DI37</f>
        <v>*1,15</v>
      </c>
      <c r="H102" s="27">
        <f>Source!AV37</f>
        <v>1.025</v>
      </c>
      <c r="I102" s="27"/>
      <c r="J102" s="27"/>
      <c r="K102" s="29">
        <f>Source!U37</f>
        <v>0.7281846</v>
      </c>
    </row>
    <row r="103" spans="9:24" ht="12.75">
      <c r="I103" s="63">
        <f>Source!S37+Source!Q37+SUM(J95:J101)</f>
        <v>324.39</v>
      </c>
      <c r="J103" s="63"/>
      <c r="K103" s="30">
        <f>IF(Source!I37&lt;&gt;0,ROUND(I103/Source!I37,2),0)</f>
        <v>24575</v>
      </c>
      <c r="O103">
        <f>IF(Source!BI37=1,(IF(Source!BA37&lt;&gt;0,Source!S37/Source!BA37,Source!S37)+IF(Source!BB37&lt;&gt;0,Source!Q37/Source!BB37,Source!Q37)+IF(Source!BC37&lt;&gt;0,Source!P37/Source!BC37,Source!P37)+((Source!DN37/100)*(Source!S37/IF(Source!BA37&lt;&gt;0,Source!BA37,1)))+((Source!DO37/100)*(Source!S37/IF(Source!BA37&lt;&gt;0,Source!BA37,1)))+((Source!R37/IF(Source!BS37&lt;&gt;0,Source!BS37,1))*1.75)),0)</f>
        <v>23.286841971692798</v>
      </c>
      <c r="P103">
        <f>IF(Source!BI37=2,(IF(Source!BA37&lt;&gt;0,Source!S37/Source!BA37,Source!S37)+IF(Source!BB37&lt;&gt;0,Source!Q37/Source!BB37,Source!Q37)+IF(Source!BC37&lt;&gt;0,Source!P37/Source!BC37,Source!P37)+((Source!DN37/100)*(Source!S37/IF(Source!BA37&lt;&gt;0,Source!BA37,1)))+((Source!DO37/100)*(Source!S37/IF(Source!BA37&lt;&gt;0,Source!BA37,1)))+((Source!R37/IF(Source!BS37&lt;&gt;0,Source!BS37,1))*1.75)),0)</f>
        <v>0</v>
      </c>
      <c r="Q103">
        <f>IF(Source!BI37=3,(IF(Source!BA37&lt;&gt;0,Source!S37/Source!BA37,Source!S37)+IF(Source!BB37&lt;&gt;0,Source!Q37/Source!BB37,Source!Q37)+IF(Source!BC37&lt;&gt;0,Source!P37/Source!BC37,Source!P37)+((Source!DN37/100)*(Source!S37/IF(Source!BA37&lt;&gt;0,Source!BA37,1)))+((Source!DO37/100)*(Source!S37/IF(Source!BA37&lt;&gt;0,Source!BA37,1)))+((Source!R37/IF(Source!BS37&lt;&gt;0,Source!BS37,1))*1.75)),0)</f>
        <v>0</v>
      </c>
      <c r="R103">
        <f>IF(Source!BI37=4,(IF(Source!BA37&lt;&gt;0,Source!S37/Source!BA37,Source!S37)+IF(Source!BB37&lt;&gt;0,Source!Q37/Source!BB37,Source!Q37)+IF(Source!BC37&lt;&gt;0,Source!P37/Source!BC37,Source!P37)+((Source!DN37/100)*(Source!S37/IF(Source!BA37&lt;&gt;0,Source!BA37,1)))+((Source!DO37/100)*(Source!S37/IF(Source!BA37&lt;&gt;0,Source!BA37,1)))+((Source!R37/IF(Source!BS37&lt;&gt;0,Source!BS37,1))*1.75)),0)</f>
        <v>0</v>
      </c>
      <c r="U103">
        <f>IF(Source!BI37=1,Source!O37+Source!X37+Source!Y37+Source!R37*169/100,0)</f>
        <v>269.596</v>
      </c>
      <c r="V103">
        <f>IF(Source!BI37=2,Source!O37+Source!X37+Source!Y37+Source!R37*169/100,0)</f>
        <v>0</v>
      </c>
      <c r="W103">
        <f>IF(Source!BI37=3,Source!O37+Source!X37+Source!Y37+Source!R37*169/100,0)</f>
        <v>0</v>
      </c>
      <c r="X103">
        <f>IF(Source!BI37=4,Source!O37+Source!X37+Source!Y37+Source!R37*169/100,0)</f>
        <v>0</v>
      </c>
    </row>
    <row r="104" spans="1:25" ht="36">
      <c r="A104" s="23" t="str">
        <f>Source!E41</f>
        <v>7</v>
      </c>
      <c r="B104" s="23" t="str">
        <f>Source!F41</f>
        <v>6.69-19-1</v>
      </c>
      <c r="C104" s="10" t="str">
        <f>Source!G41</f>
        <v>ПОГРУЗКА И ВЫГРУЗКА ВРУЧНУЮ СТРОИТЕЛЬНОГО МУСОРА НА ТРАНСПОРТНЫЕ СРЕДСТВА</v>
      </c>
      <c r="D104" s="24" t="str">
        <f>Source!H41</f>
        <v>т</v>
      </c>
      <c r="E104" s="6">
        <f>ROUND(Source!I41,6)</f>
        <v>0.15058</v>
      </c>
      <c r="F104" s="6"/>
      <c r="G104" s="6"/>
      <c r="H104" s="6"/>
      <c r="I104" s="6"/>
      <c r="J104" s="6"/>
      <c r="K104" s="6"/>
      <c r="Y104">
        <v>18</v>
      </c>
    </row>
    <row r="105" spans="1:11" ht="12.75">
      <c r="A105" s="6"/>
      <c r="B105" s="6"/>
      <c r="C105" s="6" t="s">
        <v>218</v>
      </c>
      <c r="D105" s="6"/>
      <c r="E105" s="6"/>
      <c r="F105" s="11">
        <f>Source!AO41</f>
        <v>9.62</v>
      </c>
      <c r="G105" s="25">
        <f>Source!DG41</f>
      </c>
      <c r="H105" s="6">
        <f>Source!AV41</f>
        <v>1.047</v>
      </c>
      <c r="I105" s="6">
        <f>Source!BA41</f>
        <v>13.44</v>
      </c>
      <c r="J105" s="11">
        <f>Source!S41</f>
        <v>20.38</v>
      </c>
      <c r="K105" s="6"/>
    </row>
    <row r="106" spans="1:11" ht="12.75">
      <c r="A106" s="6"/>
      <c r="B106" s="6"/>
      <c r="C106" s="6" t="s">
        <v>219</v>
      </c>
      <c r="D106" s="6"/>
      <c r="E106" s="6"/>
      <c r="F106" s="11">
        <f>Source!AM41</f>
        <v>0</v>
      </c>
      <c r="G106" s="25">
        <f>Source!DE41</f>
      </c>
      <c r="H106" s="6">
        <f>Source!AV41</f>
        <v>1.047</v>
      </c>
      <c r="I106" s="6">
        <f>Source!BB41</f>
        <v>1</v>
      </c>
      <c r="J106" s="11">
        <f>Source!Q41</f>
        <v>0</v>
      </c>
      <c r="K106" s="6"/>
    </row>
    <row r="107" spans="1:11" ht="12.75">
      <c r="A107" s="6"/>
      <c r="B107" s="6"/>
      <c r="C107" s="6" t="s">
        <v>220</v>
      </c>
      <c r="D107" s="6"/>
      <c r="E107" s="6"/>
      <c r="F107" s="11">
        <f>Source!AN41</f>
        <v>0</v>
      </c>
      <c r="G107" s="25">
        <f>Source!DF41</f>
      </c>
      <c r="H107" s="6">
        <f>Source!AV41</f>
        <v>1.047</v>
      </c>
      <c r="I107" s="6">
        <f>Source!BS41</f>
        <v>13.44</v>
      </c>
      <c r="J107" s="26" t="str">
        <f>CONCATENATE("(",TEXT(+Source!R41,"0,00"),")")</f>
        <v>(0,00)</v>
      </c>
      <c r="K107" s="6"/>
    </row>
    <row r="108" spans="1:11" ht="12.75">
      <c r="A108" s="6"/>
      <c r="B108" s="6"/>
      <c r="C108" s="6" t="s">
        <v>221</v>
      </c>
      <c r="D108" s="6"/>
      <c r="E108" s="6"/>
      <c r="F108" s="11">
        <f>Source!AL41</f>
        <v>0</v>
      </c>
      <c r="G108" s="6">
        <f>Source!DD41</f>
      </c>
      <c r="H108" s="6">
        <f>Source!AW41</f>
        <v>1.002</v>
      </c>
      <c r="I108" s="6">
        <f>Source!BC41</f>
        <v>1</v>
      </c>
      <c r="J108" s="11">
        <f>Source!P41</f>
        <v>0</v>
      </c>
      <c r="K108" s="6"/>
    </row>
    <row r="109" spans="1:11" ht="12.75">
      <c r="A109" s="6"/>
      <c r="B109" s="6"/>
      <c r="C109" s="6" t="s">
        <v>222</v>
      </c>
      <c r="D109" s="6" t="s">
        <v>223</v>
      </c>
      <c r="E109" s="6">
        <f>Source!AT41</f>
        <v>77</v>
      </c>
      <c r="F109" s="6"/>
      <c r="G109" s="6"/>
      <c r="H109" s="6"/>
      <c r="I109" s="6"/>
      <c r="J109" s="11">
        <f>Source!X41</f>
        <v>15.69</v>
      </c>
      <c r="K109" s="6"/>
    </row>
    <row r="110" spans="1:11" ht="12.75">
      <c r="A110" s="6"/>
      <c r="B110" s="6"/>
      <c r="C110" s="6" t="s">
        <v>224</v>
      </c>
      <c r="D110" s="6" t="s">
        <v>223</v>
      </c>
      <c r="E110" s="6">
        <f>Source!AU41</f>
        <v>44</v>
      </c>
      <c r="F110" s="6"/>
      <c r="G110" s="6"/>
      <c r="H110" s="6"/>
      <c r="I110" s="6"/>
      <c r="J110" s="11">
        <f>Source!Y41</f>
        <v>8.97</v>
      </c>
      <c r="K110" s="6"/>
    </row>
    <row r="111" spans="1:11" ht="12.75">
      <c r="A111" s="6"/>
      <c r="B111" s="6"/>
      <c r="C111" s="6" t="s">
        <v>225</v>
      </c>
      <c r="D111" s="6" t="s">
        <v>223</v>
      </c>
      <c r="E111" s="6">
        <v>169</v>
      </c>
      <c r="F111" s="6"/>
      <c r="G111" s="6"/>
      <c r="H111" s="6"/>
      <c r="I111" s="6"/>
      <c r="J111" s="11">
        <f>ROUND(Source!R41*E111/100,2)</f>
        <v>0</v>
      </c>
      <c r="K111" s="6"/>
    </row>
    <row r="112" spans="1:11" ht="12.75">
      <c r="A112" s="27"/>
      <c r="B112" s="27"/>
      <c r="C112" s="27" t="s">
        <v>226</v>
      </c>
      <c r="D112" s="27" t="s">
        <v>227</v>
      </c>
      <c r="E112" s="27">
        <f>Source!AQ41</f>
        <v>1.02</v>
      </c>
      <c r="F112" s="27"/>
      <c r="G112" s="28">
        <f>Source!DI41</f>
      </c>
      <c r="H112" s="27">
        <f>Source!AV41</f>
        <v>1.047</v>
      </c>
      <c r="I112" s="27"/>
      <c r="J112" s="27"/>
      <c r="K112" s="29">
        <f>Source!U41</f>
        <v>0.16081040519999998</v>
      </c>
    </row>
    <row r="113" spans="9:24" ht="12.75">
      <c r="I113" s="63">
        <f>Source!S41+Source!Q41+SUM(J108:J111)</f>
        <v>45.04</v>
      </c>
      <c r="J113" s="63"/>
      <c r="K113" s="30">
        <f>IF(Source!I41&lt;&gt;0,ROUND(I113/Source!I41,2),0)</f>
        <v>299.11</v>
      </c>
      <c r="O113">
        <f>IF(Source!BI41=1,(IF(Source!BA41&lt;&gt;0,Source!S41/Source!BA41,Source!S41)+IF(Source!BB41&lt;&gt;0,Source!Q41/Source!BB41,Source!Q41)+IF(Source!BC41&lt;&gt;0,Source!P41/Source!BC41,Source!P41)+((Source!DN41/100)*(Source!S41/IF(Source!BA41&lt;&gt;0,Source!BA41,1)))+((Source!DO41/100)*(Source!S41/IF(Source!BA41&lt;&gt;0,Source!BA41,1)))+((Source!R41/IF(Source!BS41&lt;&gt;0,Source!BS41,1))*1.75)),0)</f>
        <v>3.957723214285714</v>
      </c>
      <c r="P113">
        <f>IF(Source!BI41=2,(IF(Source!BA41&lt;&gt;0,Source!S41/Source!BA41,Source!S41)+IF(Source!BB41&lt;&gt;0,Source!Q41/Source!BB41,Source!Q41)+IF(Source!BC41&lt;&gt;0,Source!P41/Source!BC41,Source!P41)+((Source!DN41/100)*(Source!S41/IF(Source!BA41&lt;&gt;0,Source!BA41,1)))+((Source!DO41/100)*(Source!S41/IF(Source!BA41&lt;&gt;0,Source!BA41,1)))+((Source!R41/IF(Source!BS41&lt;&gt;0,Source!BS41,1))*1.75)),0)</f>
        <v>0</v>
      </c>
      <c r="Q113">
        <f>IF(Source!BI41=3,(IF(Source!BA41&lt;&gt;0,Source!S41/Source!BA41,Source!S41)+IF(Source!BB41&lt;&gt;0,Source!Q41/Source!BB41,Source!Q41)+IF(Source!BC41&lt;&gt;0,Source!P41/Source!BC41,Source!P41)+((Source!DN41/100)*(Source!S41/IF(Source!BA41&lt;&gt;0,Source!BA41,1)))+((Source!DO41/100)*(Source!S41/IF(Source!BA41&lt;&gt;0,Source!BA41,1)))+((Source!R41/IF(Source!BS41&lt;&gt;0,Source!BS41,1))*1.75)),0)</f>
        <v>0</v>
      </c>
      <c r="R113">
        <f>IF(Source!BI41=4,(IF(Source!BA41&lt;&gt;0,Source!S41/Source!BA41,Source!S41)+IF(Source!BB41&lt;&gt;0,Source!Q41/Source!BB41,Source!Q41)+IF(Source!BC41&lt;&gt;0,Source!P41/Source!BC41,Source!P41)+((Source!DN41/100)*(Source!S41/IF(Source!BA41&lt;&gt;0,Source!BA41,1)))+((Source!DO41/100)*(Source!S41/IF(Source!BA41&lt;&gt;0,Source!BA41,1)))+((Source!R41/IF(Source!BS41&lt;&gt;0,Source!BS41,1))*1.75)),0)</f>
        <v>0</v>
      </c>
      <c r="U113">
        <f>IF(Source!BI41=1,Source!O41+Source!X41+Source!Y41+Source!R41*169/100,0)</f>
        <v>45.04</v>
      </c>
      <c r="V113">
        <f>IF(Source!BI41=2,Source!O41+Source!X41+Source!Y41+Source!R41*169/100,0)</f>
        <v>0</v>
      </c>
      <c r="W113">
        <f>IF(Source!BI41=3,Source!O41+Source!X41+Source!Y41+Source!R41*169/100,0)</f>
        <v>0</v>
      </c>
      <c r="X113">
        <f>IF(Source!BI41=4,Source!O41+Source!X41+Source!Y41+Source!R41*169/100,0)</f>
        <v>0</v>
      </c>
    </row>
    <row r="114" spans="1:25" ht="60">
      <c r="A114" s="23" t="str">
        <f>Source!E42</f>
        <v>8</v>
      </c>
      <c r="B114" s="23" t="str">
        <f>Source!F42</f>
        <v>15.1-60-5</v>
      </c>
      <c r="C114" s="10" t="str">
        <f>Source!G42</f>
        <v>ПЕРЕВОЗКА СТРОИТЕЛЬНОГО МУСОРА НА РАССТОЯНИЕ 60 КМ АВТОСАМОСВАЛАМИ ГРУЗОПОДЪЕМНОСТЬЮ ДО 16 Т, ПЕРЕВОЗКА ДО 60 КМ</v>
      </c>
      <c r="D114" s="24" t="str">
        <f>Source!H42</f>
        <v>т</v>
      </c>
      <c r="E114" s="6">
        <f>ROUND(Source!I42,6)</f>
        <v>0.15058</v>
      </c>
      <c r="F114" s="6"/>
      <c r="G114" s="6"/>
      <c r="H114" s="6"/>
      <c r="I114" s="6"/>
      <c r="J114" s="6"/>
      <c r="K114" s="6"/>
      <c r="Y114">
        <v>19</v>
      </c>
    </row>
    <row r="115" spans="1:11" ht="12.75">
      <c r="A115" s="6"/>
      <c r="B115" s="6"/>
      <c r="C115" s="6" t="s">
        <v>218</v>
      </c>
      <c r="D115" s="6"/>
      <c r="E115" s="6"/>
      <c r="F115" s="11">
        <f>Source!AO42</f>
        <v>0</v>
      </c>
      <c r="G115" s="25">
        <f>Source!DG42</f>
      </c>
      <c r="H115" s="6">
        <f>Source!AV42</f>
        <v>1</v>
      </c>
      <c r="I115" s="6">
        <f>Source!BA42</f>
        <v>1</v>
      </c>
      <c r="J115" s="11">
        <f>Source!S42</f>
        <v>0</v>
      </c>
      <c r="K115" s="6"/>
    </row>
    <row r="116" spans="1:11" ht="12.75">
      <c r="A116" s="6"/>
      <c r="B116" s="6"/>
      <c r="C116" s="6" t="s">
        <v>219</v>
      </c>
      <c r="D116" s="6"/>
      <c r="E116" s="6"/>
      <c r="F116" s="11">
        <f>Source!AM42</f>
        <v>117.74</v>
      </c>
      <c r="G116" s="25">
        <f>Source!DE42</f>
      </c>
      <c r="H116" s="6">
        <f>Source!AV42</f>
        <v>1</v>
      </c>
      <c r="I116" s="6">
        <f>Source!BB42</f>
        <v>4.67</v>
      </c>
      <c r="J116" s="11">
        <f>Source!Q42</f>
        <v>82.8</v>
      </c>
      <c r="K116" s="6"/>
    </row>
    <row r="117" spans="1:11" ht="12.75">
      <c r="A117" s="6"/>
      <c r="B117" s="6"/>
      <c r="C117" s="6" t="s">
        <v>220</v>
      </c>
      <c r="D117" s="6"/>
      <c r="E117" s="6"/>
      <c r="F117" s="11">
        <f>Source!AN42</f>
        <v>0</v>
      </c>
      <c r="G117" s="25">
        <f>Source!DF42</f>
      </c>
      <c r="H117" s="6">
        <f>Source!AV42</f>
        <v>1</v>
      </c>
      <c r="I117" s="6">
        <f>Source!BS42</f>
        <v>1</v>
      </c>
      <c r="J117" s="26" t="str">
        <f>CONCATENATE("(",TEXT(+Source!R42,"0,00"),")")</f>
        <v>(0,00)</v>
      </c>
      <c r="K117" s="6"/>
    </row>
    <row r="118" spans="1:11" ht="12.75">
      <c r="A118" s="6"/>
      <c r="B118" s="6"/>
      <c r="C118" s="6" t="s">
        <v>221</v>
      </c>
      <c r="D118" s="6"/>
      <c r="E118" s="6"/>
      <c r="F118" s="11">
        <f>Source!AL42</f>
        <v>0</v>
      </c>
      <c r="G118" s="6">
        <f>Source!DD42</f>
      </c>
      <c r="H118" s="6">
        <f>Source!AW42</f>
        <v>1</v>
      </c>
      <c r="I118" s="6">
        <f>Source!BC42</f>
        <v>1</v>
      </c>
      <c r="J118" s="11">
        <f>Source!P42</f>
        <v>0</v>
      </c>
      <c r="K118" s="6"/>
    </row>
    <row r="119" spans="1:11" ht="12.75">
      <c r="A119" s="6"/>
      <c r="B119" s="6"/>
      <c r="C119" s="6" t="s">
        <v>222</v>
      </c>
      <c r="D119" s="6" t="s">
        <v>223</v>
      </c>
      <c r="E119" s="6">
        <f>Source!AT42</f>
        <v>0</v>
      </c>
      <c r="F119" s="6"/>
      <c r="G119" s="6"/>
      <c r="H119" s="6"/>
      <c r="I119" s="6"/>
      <c r="J119" s="11">
        <f>Source!X42</f>
        <v>0</v>
      </c>
      <c r="K119" s="6"/>
    </row>
    <row r="120" spans="1:11" ht="12.75">
      <c r="A120" s="6"/>
      <c r="B120" s="6"/>
      <c r="C120" s="6" t="s">
        <v>224</v>
      </c>
      <c r="D120" s="6" t="s">
        <v>223</v>
      </c>
      <c r="E120" s="6">
        <f>Source!AU42</f>
        <v>0</v>
      </c>
      <c r="F120" s="6"/>
      <c r="G120" s="6"/>
      <c r="H120" s="6"/>
      <c r="I120" s="6"/>
      <c r="J120" s="11">
        <f>Source!Y42</f>
        <v>0</v>
      </c>
      <c r="K120" s="6"/>
    </row>
    <row r="121" spans="1:11" ht="12.75">
      <c r="A121" s="6"/>
      <c r="B121" s="6"/>
      <c r="C121" s="6" t="s">
        <v>225</v>
      </c>
      <c r="D121" s="6" t="s">
        <v>223</v>
      </c>
      <c r="E121" s="6">
        <v>169</v>
      </c>
      <c r="F121" s="6"/>
      <c r="G121" s="6"/>
      <c r="H121" s="6"/>
      <c r="I121" s="6"/>
      <c r="J121" s="11">
        <f>ROUND(Source!R42*E121/100,2)</f>
        <v>0</v>
      </c>
      <c r="K121" s="6"/>
    </row>
    <row r="122" spans="1:11" ht="12.75">
      <c r="A122" s="27"/>
      <c r="B122" s="27"/>
      <c r="C122" s="27" t="s">
        <v>226</v>
      </c>
      <c r="D122" s="27" t="s">
        <v>227</v>
      </c>
      <c r="E122" s="27">
        <f>Source!AQ42</f>
        <v>0</v>
      </c>
      <c r="F122" s="27"/>
      <c r="G122" s="28">
        <f>Source!DI42</f>
      </c>
      <c r="H122" s="27">
        <f>Source!AV42</f>
        <v>1</v>
      </c>
      <c r="I122" s="27"/>
      <c r="J122" s="27"/>
      <c r="K122" s="29">
        <f>Source!U42</f>
        <v>0</v>
      </c>
    </row>
    <row r="123" spans="9:24" ht="12.75">
      <c r="I123" s="63">
        <f>Source!S42+Source!Q42+SUM(J118:J121)</f>
        <v>82.8</v>
      </c>
      <c r="J123" s="63"/>
      <c r="K123" s="30">
        <f>IF(Source!I42&lt;&gt;0,ROUND(I123/Source!I42,2),0)</f>
        <v>549.87</v>
      </c>
      <c r="O123">
        <f>IF(Source!BI42=1,(IF(Source!BA42&lt;&gt;0,Source!S42/Source!BA42,Source!S42)+IF(Source!BB42&lt;&gt;0,Source!Q42/Source!BB42,Source!Q42)+IF(Source!BC42&lt;&gt;0,Source!P42/Source!BC42,Source!P42)+((Source!DN42/100)*(Source!S42/IF(Source!BA42&lt;&gt;0,Source!BA42,1)))+((Source!DO42/100)*(Source!S42/IF(Source!BA42&lt;&gt;0,Source!BA42,1)))+((Source!R42/IF(Source!BS42&lt;&gt;0,Source!BS42,1))*1.75)),0)</f>
        <v>0</v>
      </c>
      <c r="P123">
        <f>IF(Source!BI42=2,(IF(Source!BA42&lt;&gt;0,Source!S42/Source!BA42,Source!S42)+IF(Source!BB42&lt;&gt;0,Source!Q42/Source!BB42,Source!Q42)+IF(Source!BC42&lt;&gt;0,Source!P42/Source!BC42,Source!P42)+((Source!DN42/100)*(Source!S42/IF(Source!BA42&lt;&gt;0,Source!BA42,1)))+((Source!DO42/100)*(Source!S42/IF(Source!BA42&lt;&gt;0,Source!BA42,1)))+((Source!R42/IF(Source!BS42&lt;&gt;0,Source!BS42,1))*1.75)),0)</f>
        <v>0</v>
      </c>
      <c r="Q123">
        <f>IF(Source!BI42=3,(IF(Source!BA42&lt;&gt;0,Source!S42/Source!BA42,Source!S42)+IF(Source!BB42&lt;&gt;0,Source!Q42/Source!BB42,Source!Q42)+IF(Source!BC42&lt;&gt;0,Source!P42/Source!BC42,Source!P42)+((Source!DN42/100)*(Source!S42/IF(Source!BA42&lt;&gt;0,Source!BA42,1)))+((Source!DO42/100)*(Source!S42/IF(Source!BA42&lt;&gt;0,Source!BA42,1)))+((Source!R42/IF(Source!BS42&lt;&gt;0,Source!BS42,1))*1.75)),0)</f>
        <v>0</v>
      </c>
      <c r="R123">
        <f>IF(Source!BI42=4,(IF(Source!BA42&lt;&gt;0,Source!S42/Source!BA42,Source!S42)+IF(Source!BB42&lt;&gt;0,Source!Q42/Source!BB42,Source!Q42)+IF(Source!BC42&lt;&gt;0,Source!P42/Source!BC42,Source!P42)+((Source!DN42/100)*(Source!S42/IF(Source!BA42&lt;&gt;0,Source!BA42,1)))+((Source!DO42/100)*(Source!S42/IF(Source!BA42&lt;&gt;0,Source!BA42,1)))+((Source!R42/IF(Source!BS42&lt;&gt;0,Source!BS42,1))*1.75)),0)</f>
        <v>17.73019271948608</v>
      </c>
      <c r="U123">
        <f>IF(Source!BI42=1,Source!O42+Source!X42+Source!Y42+Source!R42*169/100,0)</f>
        <v>0</v>
      </c>
      <c r="V123">
        <f>IF(Source!BI42=2,Source!O42+Source!X42+Source!Y42+Source!R42*169/100,0)</f>
        <v>0</v>
      </c>
      <c r="W123">
        <f>IF(Source!BI42=3,Source!O42+Source!X42+Source!Y42+Source!R42*169/100,0)</f>
        <v>0</v>
      </c>
      <c r="X123">
        <f>IF(Source!BI42=4,Source!O42+Source!X42+Source!Y42+Source!R42*169/100,0)</f>
        <v>82.8</v>
      </c>
    </row>
    <row r="125" spans="3:20" s="9" customFormat="1" ht="12.75">
      <c r="C125" s="9" t="s">
        <v>228</v>
      </c>
      <c r="I125" s="55">
        <f>ROUND(Source!AB22+Source!AK22+Source!AL22+Source!AE22*T125/100,2)</f>
        <v>12582.77</v>
      </c>
      <c r="J125" s="55"/>
      <c r="T125" s="9">
        <v>169</v>
      </c>
    </row>
    <row r="127" spans="3:11" ht="12.75">
      <c r="C127" s="31" t="s">
        <v>229</v>
      </c>
      <c r="D127" s="57" t="str">
        <f>Source!G64</f>
        <v>Монтаж противодымной двери</v>
      </c>
      <c r="E127" s="57"/>
      <c r="F127" s="57"/>
      <c r="G127" s="57"/>
      <c r="H127" s="57"/>
      <c r="I127" s="57"/>
      <c r="J127" s="57"/>
      <c r="K127" s="57"/>
    </row>
    <row r="128" spans="3:11" ht="12.75">
      <c r="C128" s="58" t="str">
        <f>Source!H79</f>
        <v>Всего по смете</v>
      </c>
      <c r="D128" s="58"/>
      <c r="E128" s="58"/>
      <c r="F128" s="58"/>
      <c r="G128" s="58"/>
      <c r="H128" s="58"/>
      <c r="I128" s="58"/>
      <c r="J128" s="59">
        <f>Source!F79</f>
        <v>12582.77</v>
      </c>
      <c r="K128" s="60"/>
    </row>
    <row r="129" spans="3:11" ht="12.75">
      <c r="C129" s="58" t="str">
        <f>Source!H80</f>
        <v>НДС 18%</v>
      </c>
      <c r="D129" s="58"/>
      <c r="E129" s="58"/>
      <c r="F129" s="58"/>
      <c r="G129" s="58"/>
      <c r="H129" s="58"/>
      <c r="I129" s="58"/>
      <c r="J129" s="59">
        <f>Source!F80</f>
        <v>2264.9</v>
      </c>
      <c r="K129" s="60"/>
    </row>
    <row r="130" spans="3:11" ht="12.75">
      <c r="C130" s="57" t="str">
        <f>Source!H81</f>
        <v>Итого с НДС</v>
      </c>
      <c r="D130" s="57"/>
      <c r="E130" s="57"/>
      <c r="F130" s="57"/>
      <c r="G130" s="57"/>
      <c r="H130" s="57"/>
      <c r="I130" s="57"/>
      <c r="J130" s="61">
        <f>Source!F81</f>
        <v>14847.67</v>
      </c>
      <c r="K130" s="62"/>
    </row>
    <row r="131" spans="3:12" s="9" customFormat="1" ht="12.75">
      <c r="C131" s="9" t="s">
        <v>244</v>
      </c>
      <c r="I131" s="55"/>
      <c r="J131" s="55"/>
      <c r="K131" s="61">
        <v>14328</v>
      </c>
      <c r="L131" s="62"/>
    </row>
    <row r="136" spans="1:8" ht="12.75">
      <c r="A136" t="s">
        <v>230</v>
      </c>
      <c r="C136" s="32" t="str">
        <f>IF(Source!AO12&lt;&gt;"",Source!AO12," ")</f>
        <v> </v>
      </c>
      <c r="D136" s="32"/>
      <c r="E136" s="32"/>
      <c r="F136" s="32"/>
      <c r="G136" s="32"/>
      <c r="H136" t="str">
        <f>IF(Source!R12&lt;&gt;"",Source!R12," ")</f>
        <v> </v>
      </c>
    </row>
    <row r="137" spans="3:7" s="33" customFormat="1" ht="11.25">
      <c r="C137" s="56" t="s">
        <v>231</v>
      </c>
      <c r="D137" s="56"/>
      <c r="E137" s="56"/>
      <c r="F137" s="56"/>
      <c r="G137" s="56"/>
    </row>
    <row r="139" spans="1:8" ht="12.75">
      <c r="A139" t="s">
        <v>232</v>
      </c>
      <c r="C139" s="32" t="str">
        <f>IF(Source!AP12&lt;&gt;"",Source!AP12," ")</f>
        <v> </v>
      </c>
      <c r="D139" s="32"/>
      <c r="E139" s="32"/>
      <c r="F139" s="32"/>
      <c r="G139" s="32"/>
      <c r="H139" t="str">
        <f>IF(Source!S12&lt;&gt;"",Source!S12," ")</f>
        <v> </v>
      </c>
    </row>
    <row r="140" spans="3:7" s="33" customFormat="1" ht="11.25">
      <c r="C140" s="56" t="s">
        <v>231</v>
      </c>
      <c r="D140" s="56"/>
      <c r="E140" s="56"/>
      <c r="F140" s="56"/>
      <c r="G140" s="56"/>
    </row>
  </sheetData>
  <sheetProtection/>
  <mergeCells count="34">
    <mergeCell ref="K131:L131"/>
    <mergeCell ref="F3:I3"/>
    <mergeCell ref="A5:B5"/>
    <mergeCell ref="F5:H5"/>
    <mergeCell ref="C5:D5"/>
    <mergeCell ref="I5:K5"/>
    <mergeCell ref="C7:D7"/>
    <mergeCell ref="H7:K7"/>
    <mergeCell ref="A21:K21"/>
    <mergeCell ref="G26:I26"/>
    <mergeCell ref="I42:J42"/>
    <mergeCell ref="I53:J53"/>
    <mergeCell ref="I64:J64"/>
    <mergeCell ref="A12:K12"/>
    <mergeCell ref="A15:K15"/>
    <mergeCell ref="A16:K16"/>
    <mergeCell ref="B18:K18"/>
    <mergeCell ref="B19:K19"/>
    <mergeCell ref="I76:J76"/>
    <mergeCell ref="I90:J90"/>
    <mergeCell ref="I103:J103"/>
    <mergeCell ref="I113:J113"/>
    <mergeCell ref="I123:J123"/>
    <mergeCell ref="I125:J125"/>
    <mergeCell ref="I131:J131"/>
    <mergeCell ref="C137:G137"/>
    <mergeCell ref="C140:G140"/>
    <mergeCell ref="D127:K127"/>
    <mergeCell ref="C128:I128"/>
    <mergeCell ref="J128:K128"/>
    <mergeCell ref="C129:I129"/>
    <mergeCell ref="J129:K129"/>
    <mergeCell ref="C130:I130"/>
    <mergeCell ref="J130:K130"/>
  </mergeCells>
  <printOptions/>
  <pageMargins left="0.38740157480315" right="0.196850393700787" top="0.393700787401575" bottom="0.393700787401575" header="0.11811023622047198" footer="0.11811023622047198"/>
  <pageSetup horizontalDpi="600" verticalDpi="600" orientation="portrait" paperSize="9" scale="75" r:id="rId1"/>
  <headerFooter>
    <oddHeader>&amp;L&amp;8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Y8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2</v>
      </c>
      <c r="G1">
        <v>0</v>
      </c>
      <c r="H1">
        <v>0</v>
      </c>
      <c r="I1" t="s">
        <v>2</v>
      </c>
      <c r="K1">
        <v>1</v>
      </c>
      <c r="L1">
        <v>39123</v>
      </c>
    </row>
    <row r="12" spans="1:104" ht="12.75">
      <c r="A12" s="1">
        <v>1</v>
      </c>
      <c r="B12" s="1">
        <v>1</v>
      </c>
      <c r="C12" s="1">
        <v>0</v>
      </c>
      <c r="D12" s="1">
        <f>ROW(A64)</f>
        <v>64</v>
      </c>
      <c r="E12" s="1">
        <v>0</v>
      </c>
      <c r="F12" s="1" t="s">
        <v>4</v>
      </c>
      <c r="G12" s="1" t="s">
        <v>5</v>
      </c>
      <c r="H12" s="1" t="s">
        <v>3</v>
      </c>
      <c r="I12" s="1">
        <v>0</v>
      </c>
      <c r="J12" s="1" t="s">
        <v>3</v>
      </c>
      <c r="K12" s="1" t="s">
        <v>3</v>
      </c>
      <c r="L12" s="1" t="s">
        <v>3</v>
      </c>
      <c r="M12" s="1" t="s">
        <v>3</v>
      </c>
      <c r="N12" s="1" t="s">
        <v>3</v>
      </c>
      <c r="O12" s="1" t="s">
        <v>6</v>
      </c>
      <c r="P12" s="1">
        <v>2013</v>
      </c>
      <c r="Q12" s="1">
        <v>1</v>
      </c>
      <c r="R12" s="1" t="s">
        <v>3</v>
      </c>
      <c r="S12" s="1" t="s">
        <v>3</v>
      </c>
      <c r="T12" s="1" t="s">
        <v>3</v>
      </c>
      <c r="U12" s="1" t="s">
        <v>3</v>
      </c>
      <c r="V12" s="1">
        <v>-3</v>
      </c>
      <c r="W12" s="1" t="s">
        <v>3</v>
      </c>
      <c r="X12" s="1">
        <v>0</v>
      </c>
      <c r="Y12" s="1">
        <v>2</v>
      </c>
      <c r="Z12" s="1">
        <v>2</v>
      </c>
      <c r="AA12" s="1">
        <v>1</v>
      </c>
      <c r="AB12" s="1"/>
      <c r="AC12" s="1">
        <v>1</v>
      </c>
      <c r="AD12" s="1">
        <v>2</v>
      </c>
      <c r="AE12" s="1">
        <v>0</v>
      </c>
      <c r="AF12" s="1">
        <v>0</v>
      </c>
      <c r="AG12" s="1">
        <v>1</v>
      </c>
      <c r="AH12" s="1">
        <v>0</v>
      </c>
      <c r="AI12" s="1">
        <v>1</v>
      </c>
      <c r="AJ12" s="1">
        <v>99</v>
      </c>
      <c r="AK12" s="1">
        <v>70</v>
      </c>
      <c r="AL12" s="1" t="s">
        <v>3</v>
      </c>
      <c r="AM12" s="1" t="s">
        <v>3</v>
      </c>
      <c r="AN12" s="1">
        <v>0</v>
      </c>
      <c r="AO12" s="1" t="s">
        <v>3</v>
      </c>
      <c r="AP12" s="1" t="s">
        <v>3</v>
      </c>
      <c r="AQ12" s="1" t="s">
        <v>3</v>
      </c>
      <c r="AR12" s="1" t="s">
        <v>3</v>
      </c>
      <c r="AS12" s="1" t="s">
        <v>3</v>
      </c>
      <c r="AT12" s="1" t="s">
        <v>3</v>
      </c>
      <c r="AU12" s="1" t="s">
        <v>3</v>
      </c>
      <c r="AV12" s="1" t="s">
        <v>3</v>
      </c>
      <c r="AW12" s="1" t="s">
        <v>3</v>
      </c>
      <c r="AX12" s="1"/>
      <c r="AY12" s="1"/>
      <c r="AZ12" s="1"/>
      <c r="BA12" s="1">
        <v>169</v>
      </c>
      <c r="BB12" s="1">
        <v>99</v>
      </c>
      <c r="BC12" s="1">
        <v>70</v>
      </c>
      <c r="BD12" s="1">
        <v>20316059</v>
      </c>
      <c r="BE12" s="1" t="s">
        <v>7</v>
      </c>
      <c r="BF12" s="1" t="s">
        <v>8</v>
      </c>
      <c r="BG12" s="1">
        <v>7156650</v>
      </c>
      <c r="BH12" s="1">
        <v>0</v>
      </c>
      <c r="BI12" s="1">
        <v>1</v>
      </c>
      <c r="BJ12" s="1"/>
      <c r="BK12" s="1">
        <v>1</v>
      </c>
      <c r="BL12" s="1">
        <v>0</v>
      </c>
      <c r="BM12" s="1">
        <v>0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169</v>
      </c>
      <c r="BU12" s="1">
        <v>1</v>
      </c>
      <c r="BV12" s="1">
        <v>1</v>
      </c>
      <c r="BW12" s="1">
        <v>0</v>
      </c>
      <c r="BX12" s="1">
        <v>0</v>
      </c>
      <c r="BY12" s="1">
        <v>0</v>
      </c>
      <c r="BZ12" s="1">
        <v>0</v>
      </c>
      <c r="CA12" s="1">
        <v>7155514</v>
      </c>
      <c r="CB12" s="1">
        <v>7155498</v>
      </c>
      <c r="CC12" s="1">
        <v>7155496</v>
      </c>
      <c r="CD12" s="1">
        <v>7155494</v>
      </c>
      <c r="CE12" s="1">
        <v>0</v>
      </c>
      <c r="CF12" s="1">
        <v>0</v>
      </c>
      <c r="CG12" s="1" t="s">
        <v>3</v>
      </c>
      <c r="CH12" s="1" t="s">
        <v>3</v>
      </c>
      <c r="CI12" s="1" t="s">
        <v>3</v>
      </c>
      <c r="CJ12" s="1">
        <v>0</v>
      </c>
      <c r="CK12" s="1">
        <v>7182713</v>
      </c>
      <c r="CL12" s="1" t="s">
        <v>9</v>
      </c>
      <c r="CM12" s="1" t="s">
        <v>10</v>
      </c>
      <c r="CN12" s="1" t="s">
        <v>11</v>
      </c>
      <c r="CO12" s="1" t="s">
        <v>11</v>
      </c>
      <c r="CP12" s="1" t="s">
        <v>11</v>
      </c>
      <c r="CQ12" s="1" t="s">
        <v>11</v>
      </c>
      <c r="CR12" s="1" t="s">
        <v>12</v>
      </c>
      <c r="CS12" s="1">
        <v>8739335</v>
      </c>
      <c r="CT12" s="1">
        <v>0</v>
      </c>
      <c r="CU12" s="1">
        <v>0</v>
      </c>
      <c r="CV12" s="1">
        <v>7534351</v>
      </c>
      <c r="CW12" s="1">
        <v>21964344</v>
      </c>
      <c r="CX12" s="1">
        <v>21964345</v>
      </c>
      <c r="CY12" s="1">
        <v>0</v>
      </c>
      <c r="CZ12" s="1" t="s">
        <v>3</v>
      </c>
    </row>
    <row r="15" spans="1:104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8" spans="1:43" ht="12.75">
      <c r="A18" s="2">
        <v>52</v>
      </c>
      <c r="B18" s="2">
        <f aca="true" t="shared" si="0" ref="B18:AQ18">B64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Новый объект</v>
      </c>
      <c r="G18" s="2" t="str">
        <f t="shared" si="0"/>
        <v>Монтаж противодымной двери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10519.11</v>
      </c>
      <c r="P18" s="2">
        <f t="shared" si="0"/>
        <v>8795.28</v>
      </c>
      <c r="Q18" s="2">
        <f t="shared" si="0"/>
        <v>148.13</v>
      </c>
      <c r="R18" s="2">
        <f t="shared" si="0"/>
        <v>28.6</v>
      </c>
      <c r="S18" s="2">
        <f t="shared" si="0"/>
        <v>1575.7</v>
      </c>
      <c r="T18" s="2">
        <f t="shared" si="0"/>
        <v>0</v>
      </c>
      <c r="U18" s="2">
        <f t="shared" si="0"/>
        <v>9.845663035200001</v>
      </c>
      <c r="V18" s="2">
        <f t="shared" si="0"/>
        <v>0</v>
      </c>
      <c r="W18" s="2">
        <f t="shared" si="0"/>
        <v>0</v>
      </c>
      <c r="X18" s="2">
        <f t="shared" si="0"/>
        <v>1322.02</v>
      </c>
      <c r="Y18" s="2">
        <f t="shared" si="0"/>
        <v>693.31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  <c r="AN18" s="2">
        <f t="shared" si="0"/>
        <v>0</v>
      </c>
      <c r="AO18" s="2">
        <f t="shared" si="0"/>
        <v>0</v>
      </c>
      <c r="AP18" s="2">
        <f t="shared" si="0"/>
        <v>0</v>
      </c>
      <c r="AQ18" s="2">
        <f t="shared" si="0"/>
        <v>0</v>
      </c>
    </row>
    <row r="19" ht="12.75">
      <c r="G19">
        <v>0</v>
      </c>
    </row>
    <row r="20" spans="1:67" ht="12.75">
      <c r="A20" s="1">
        <v>3</v>
      </c>
      <c r="B20" s="1">
        <v>1</v>
      </c>
      <c r="C20" s="1"/>
      <c r="D20" s="1">
        <f>ROW(A44)</f>
        <v>44</v>
      </c>
      <c r="E20" s="1"/>
      <c r="F20" s="1" t="s">
        <v>13</v>
      </c>
      <c r="G20" s="1" t="s">
        <v>13</v>
      </c>
      <c r="H20" s="1"/>
      <c r="I20" s="1"/>
      <c r="J20" s="1" t="s">
        <v>3</v>
      </c>
      <c r="K20" s="1"/>
      <c r="L20" s="1"/>
      <c r="M20" s="1"/>
      <c r="N20" s="1" t="s">
        <v>3</v>
      </c>
      <c r="O20" s="1"/>
      <c r="P20" s="1"/>
      <c r="Q20" s="1"/>
      <c r="R20" s="1" t="s">
        <v>3</v>
      </c>
      <c r="S20" s="1" t="s">
        <v>3</v>
      </c>
      <c r="T20" s="1" t="s">
        <v>3</v>
      </c>
      <c r="U20" s="1" t="s">
        <v>3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AN20" s="1"/>
      <c r="AO20" s="1" t="s">
        <v>3</v>
      </c>
      <c r="AP20" s="1" t="s">
        <v>3</v>
      </c>
      <c r="AQ20" s="1" t="s">
        <v>3</v>
      </c>
      <c r="AR20" s="1"/>
      <c r="AS20" s="1"/>
      <c r="AT20" s="1" t="s">
        <v>3</v>
      </c>
      <c r="AU20" s="1" t="s">
        <v>3</v>
      </c>
      <c r="AV20" s="1" t="s">
        <v>3</v>
      </c>
      <c r="AW20" s="1" t="s">
        <v>3</v>
      </c>
      <c r="AX20" s="1" t="s">
        <v>3</v>
      </c>
      <c r="AY20" s="1" t="s">
        <v>3</v>
      </c>
      <c r="AZ20" s="1" t="s">
        <v>3</v>
      </c>
      <c r="BA20" s="1" t="s">
        <v>3</v>
      </c>
      <c r="BB20" s="1" t="s">
        <v>3</v>
      </c>
      <c r="BC20" s="1" t="s">
        <v>3</v>
      </c>
      <c r="BD20" s="1" t="s">
        <v>3</v>
      </c>
      <c r="BE20" s="1" t="s">
        <v>14</v>
      </c>
      <c r="BF20" s="1">
        <v>0</v>
      </c>
      <c r="BG20" s="1">
        <v>0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>
        <v>0</v>
      </c>
      <c r="BN20" s="1" t="s">
        <v>3</v>
      </c>
      <c r="BO20" s="1" t="s">
        <v>3</v>
      </c>
    </row>
    <row r="22" spans="1:43" ht="12.75">
      <c r="A22" s="2">
        <v>52</v>
      </c>
      <c r="B22" s="2">
        <f aca="true" t="shared" si="1" ref="B22:AQ22">B44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Новая локальная смета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10519.11</v>
      </c>
      <c r="P22" s="2">
        <f t="shared" si="1"/>
        <v>8795.28</v>
      </c>
      <c r="Q22" s="2">
        <f t="shared" si="1"/>
        <v>148.13</v>
      </c>
      <c r="R22" s="2">
        <f t="shared" si="1"/>
        <v>28.6</v>
      </c>
      <c r="S22" s="2">
        <f t="shared" si="1"/>
        <v>1575.7</v>
      </c>
      <c r="T22" s="2">
        <f t="shared" si="1"/>
        <v>0</v>
      </c>
      <c r="U22" s="2">
        <f t="shared" si="1"/>
        <v>9.845663035200001</v>
      </c>
      <c r="V22" s="2">
        <f t="shared" si="1"/>
        <v>0</v>
      </c>
      <c r="W22" s="2">
        <f t="shared" si="1"/>
        <v>0</v>
      </c>
      <c r="X22" s="2">
        <f t="shared" si="1"/>
        <v>1322.02</v>
      </c>
      <c r="Y22" s="2">
        <f t="shared" si="1"/>
        <v>693.31</v>
      </c>
      <c r="Z22" s="2">
        <f t="shared" si="1"/>
        <v>0</v>
      </c>
      <c r="AA22" s="2">
        <f t="shared" si="1"/>
        <v>0</v>
      </c>
      <c r="AB22" s="2">
        <f t="shared" si="1"/>
        <v>10519.11</v>
      </c>
      <c r="AC22" s="2">
        <f t="shared" si="1"/>
        <v>8795.28</v>
      </c>
      <c r="AD22" s="2">
        <f t="shared" si="1"/>
        <v>148.13</v>
      </c>
      <c r="AE22" s="2">
        <f t="shared" si="1"/>
        <v>28.6</v>
      </c>
      <c r="AF22" s="2">
        <f t="shared" si="1"/>
        <v>1575.7</v>
      </c>
      <c r="AG22" s="2">
        <f t="shared" si="1"/>
        <v>0</v>
      </c>
      <c r="AH22" s="2">
        <f t="shared" si="1"/>
        <v>9.85</v>
      </c>
      <c r="AI22" s="2">
        <f t="shared" si="1"/>
        <v>0</v>
      </c>
      <c r="AJ22" s="2">
        <f t="shared" si="1"/>
        <v>0</v>
      </c>
      <c r="AK22" s="2">
        <f t="shared" si="1"/>
        <v>1322.02</v>
      </c>
      <c r="AL22" s="2">
        <f t="shared" si="1"/>
        <v>693.31</v>
      </c>
      <c r="AM22" s="2">
        <f t="shared" si="1"/>
        <v>0</v>
      </c>
      <c r="AN22" s="2">
        <f t="shared" si="1"/>
        <v>0</v>
      </c>
      <c r="AO22" s="2">
        <f t="shared" si="1"/>
        <v>0</v>
      </c>
      <c r="AP22" s="2">
        <f t="shared" si="1"/>
        <v>0</v>
      </c>
      <c r="AQ22" s="2">
        <f t="shared" si="1"/>
        <v>0</v>
      </c>
    </row>
    <row r="24" spans="1:181" ht="12.75">
      <c r="A24">
        <v>17</v>
      </c>
      <c r="B24">
        <v>1</v>
      </c>
      <c r="C24">
        <f>ROW(SmtRes!A1)</f>
        <v>1</v>
      </c>
      <c r="D24">
        <f>ROW(EtalonRes!A1)</f>
        <v>1</v>
      </c>
      <c r="E24" t="s">
        <v>15</v>
      </c>
      <c r="F24" t="s">
        <v>16</v>
      </c>
      <c r="G24" t="s">
        <v>17</v>
      </c>
      <c r="H24" t="s">
        <v>18</v>
      </c>
      <c r="I24">
        <v>0.021</v>
      </c>
      <c r="J24">
        <v>0</v>
      </c>
      <c r="O24">
        <v>285.51</v>
      </c>
      <c r="P24">
        <v>0</v>
      </c>
      <c r="Q24">
        <v>0</v>
      </c>
      <c r="R24">
        <v>0</v>
      </c>
      <c r="S24">
        <v>285.51</v>
      </c>
      <c r="T24">
        <v>0</v>
      </c>
      <c r="U24">
        <v>2.0041150500000002</v>
      </c>
      <c r="V24">
        <v>0</v>
      </c>
      <c r="W24">
        <v>0</v>
      </c>
      <c r="X24">
        <v>205.57</v>
      </c>
      <c r="Y24">
        <v>125.62</v>
      </c>
      <c r="AA24">
        <v>0</v>
      </c>
      <c r="AB24">
        <v>966.19</v>
      </c>
      <c r="AC24">
        <v>0</v>
      </c>
      <c r="AD24">
        <v>0</v>
      </c>
      <c r="AE24">
        <v>0</v>
      </c>
      <c r="AF24">
        <v>966.19</v>
      </c>
      <c r="AG24">
        <v>0</v>
      </c>
      <c r="AH24">
        <v>91.15</v>
      </c>
      <c r="AI24">
        <v>0</v>
      </c>
      <c r="AJ24">
        <v>0</v>
      </c>
      <c r="AK24">
        <v>966.19</v>
      </c>
      <c r="AL24">
        <v>0</v>
      </c>
      <c r="AM24">
        <v>0</v>
      </c>
      <c r="AN24">
        <v>0</v>
      </c>
      <c r="AO24">
        <v>966.19</v>
      </c>
      <c r="AP24">
        <v>0</v>
      </c>
      <c r="AQ24">
        <v>91.15</v>
      </c>
      <c r="AR24">
        <v>0</v>
      </c>
      <c r="AS24">
        <v>0</v>
      </c>
      <c r="AT24">
        <v>72</v>
      </c>
      <c r="AU24">
        <v>44</v>
      </c>
      <c r="AV24">
        <v>1.047</v>
      </c>
      <c r="AW24">
        <v>1</v>
      </c>
      <c r="AX24">
        <v>1</v>
      </c>
      <c r="AY24">
        <v>1</v>
      </c>
      <c r="AZ24">
        <v>13.44</v>
      </c>
      <c r="BA24">
        <v>13.44</v>
      </c>
      <c r="BB24">
        <v>1</v>
      </c>
      <c r="BC24">
        <v>1</v>
      </c>
      <c r="BH24">
        <v>0</v>
      </c>
      <c r="BI24">
        <v>1</v>
      </c>
      <c r="BJ24" t="s">
        <v>19</v>
      </c>
      <c r="BM24">
        <v>438</v>
      </c>
      <c r="BN24">
        <v>0</v>
      </c>
      <c r="BO24" t="s">
        <v>16</v>
      </c>
      <c r="BP24">
        <v>1</v>
      </c>
      <c r="BQ24">
        <v>60</v>
      </c>
      <c r="BR24">
        <v>0</v>
      </c>
      <c r="BS24">
        <v>13.44</v>
      </c>
      <c r="BT24">
        <v>1</v>
      </c>
      <c r="BU24">
        <v>1</v>
      </c>
      <c r="BV24">
        <v>1</v>
      </c>
      <c r="BW24">
        <v>1</v>
      </c>
      <c r="BX24">
        <v>1</v>
      </c>
      <c r="BZ24">
        <v>72</v>
      </c>
      <c r="CA24">
        <v>44</v>
      </c>
      <c r="CF24">
        <v>0</v>
      </c>
      <c r="CG24">
        <v>0</v>
      </c>
      <c r="CM24">
        <v>0</v>
      </c>
      <c r="CO24">
        <v>0</v>
      </c>
      <c r="DN24">
        <v>80</v>
      </c>
      <c r="DO24">
        <v>55</v>
      </c>
      <c r="DP24">
        <v>1.047</v>
      </c>
      <c r="DQ24">
        <v>1</v>
      </c>
      <c r="DR24">
        <v>1</v>
      </c>
      <c r="DS24">
        <v>1</v>
      </c>
      <c r="DT24">
        <v>1</v>
      </c>
      <c r="DU24">
        <v>1005</v>
      </c>
      <c r="DV24" t="s">
        <v>18</v>
      </c>
      <c r="DW24" t="s">
        <v>18</v>
      </c>
      <c r="DX24">
        <v>100</v>
      </c>
      <c r="EE24">
        <v>22091152</v>
      </c>
      <c r="EF24">
        <v>60</v>
      </c>
      <c r="EG24" t="s">
        <v>20</v>
      </c>
      <c r="EH24">
        <v>0</v>
      </c>
      <c r="EJ24">
        <v>1</v>
      </c>
      <c r="EK24">
        <v>438</v>
      </c>
      <c r="EL24" t="s">
        <v>21</v>
      </c>
      <c r="EM24" t="s">
        <v>22</v>
      </c>
      <c r="EQ24">
        <v>64</v>
      </c>
      <c r="ER24">
        <v>966.19</v>
      </c>
      <c r="ES24">
        <v>0</v>
      </c>
      <c r="ET24">
        <v>0</v>
      </c>
      <c r="EU24">
        <v>0</v>
      </c>
      <c r="EV24">
        <v>966.19</v>
      </c>
      <c r="EW24">
        <v>91.15</v>
      </c>
      <c r="EX24">
        <v>0</v>
      </c>
      <c r="EY24">
        <v>0</v>
      </c>
      <c r="EZ24">
        <v>0</v>
      </c>
      <c r="FQ24">
        <v>0</v>
      </c>
      <c r="FR24">
        <f aca="true" t="shared" si="2" ref="FR24:FR42">ROUND(IF(AND(AA24=0,BI24=3),P24,0),2)</f>
        <v>0</v>
      </c>
      <c r="FS24">
        <v>0</v>
      </c>
      <c r="FX24">
        <v>72</v>
      </c>
      <c r="FY24">
        <v>44</v>
      </c>
    </row>
    <row r="25" spans="1:181" ht="12.75">
      <c r="A25">
        <v>17</v>
      </c>
      <c r="B25">
        <v>1</v>
      </c>
      <c r="C25">
        <f>ROW(SmtRes!A10)</f>
        <v>10</v>
      </c>
      <c r="D25">
        <f>ROW(EtalonRes!A10)</f>
        <v>10</v>
      </c>
      <c r="E25" t="s">
        <v>23</v>
      </c>
      <c r="F25" t="s">
        <v>24</v>
      </c>
      <c r="G25" t="s">
        <v>25</v>
      </c>
      <c r="H25" t="s">
        <v>18</v>
      </c>
      <c r="I25">
        <v>0.021</v>
      </c>
      <c r="J25">
        <v>0</v>
      </c>
      <c r="O25">
        <v>707.05</v>
      </c>
      <c r="P25">
        <v>185.1</v>
      </c>
      <c r="Q25">
        <v>49.2</v>
      </c>
      <c r="R25">
        <v>22.17</v>
      </c>
      <c r="S25">
        <v>472.75</v>
      </c>
      <c r="T25">
        <v>0</v>
      </c>
      <c r="U25">
        <v>2.73826098</v>
      </c>
      <c r="V25">
        <v>0</v>
      </c>
      <c r="W25">
        <v>0</v>
      </c>
      <c r="X25">
        <v>420.75</v>
      </c>
      <c r="Y25">
        <v>208.01</v>
      </c>
      <c r="AA25">
        <v>0</v>
      </c>
      <c r="AB25">
        <v>4221.82</v>
      </c>
      <c r="AC25">
        <v>2319.61</v>
      </c>
      <c r="AD25">
        <v>302.42</v>
      </c>
      <c r="AE25">
        <v>75.01</v>
      </c>
      <c r="AF25">
        <v>1599.79</v>
      </c>
      <c r="AG25">
        <v>0</v>
      </c>
      <c r="AH25">
        <v>124.54</v>
      </c>
      <c r="AI25">
        <v>0</v>
      </c>
      <c r="AJ25">
        <v>0</v>
      </c>
      <c r="AK25">
        <v>4221.82</v>
      </c>
      <c r="AL25">
        <v>2319.61</v>
      </c>
      <c r="AM25">
        <v>302.42</v>
      </c>
      <c r="AN25">
        <v>75.01</v>
      </c>
      <c r="AO25">
        <v>1599.79</v>
      </c>
      <c r="AP25">
        <v>0</v>
      </c>
      <c r="AQ25">
        <v>124.54</v>
      </c>
      <c r="AR25">
        <v>0</v>
      </c>
      <c r="AS25">
        <v>0</v>
      </c>
      <c r="AT25">
        <v>89</v>
      </c>
      <c r="AU25">
        <v>44</v>
      </c>
      <c r="AV25">
        <v>1.047</v>
      </c>
      <c r="AW25">
        <v>1</v>
      </c>
      <c r="AX25">
        <v>1</v>
      </c>
      <c r="AY25">
        <v>1</v>
      </c>
      <c r="AZ25">
        <v>13.44</v>
      </c>
      <c r="BA25">
        <v>13.44</v>
      </c>
      <c r="BB25">
        <v>7.4</v>
      </c>
      <c r="BC25">
        <v>3.8</v>
      </c>
      <c r="BH25">
        <v>0</v>
      </c>
      <c r="BI25">
        <v>1</v>
      </c>
      <c r="BJ25" t="s">
        <v>26</v>
      </c>
      <c r="BM25">
        <v>86</v>
      </c>
      <c r="BN25">
        <v>0</v>
      </c>
      <c r="BO25" t="s">
        <v>24</v>
      </c>
      <c r="BP25">
        <v>1</v>
      </c>
      <c r="BQ25">
        <v>30</v>
      </c>
      <c r="BR25">
        <v>0</v>
      </c>
      <c r="BS25">
        <v>13.44</v>
      </c>
      <c r="BT25">
        <v>1</v>
      </c>
      <c r="BU25">
        <v>1</v>
      </c>
      <c r="BV25">
        <v>1</v>
      </c>
      <c r="BW25">
        <v>1</v>
      </c>
      <c r="BX25">
        <v>1</v>
      </c>
      <c r="BZ25">
        <v>89</v>
      </c>
      <c r="CA25">
        <v>44</v>
      </c>
      <c r="CF25">
        <v>0</v>
      </c>
      <c r="CG25">
        <v>0</v>
      </c>
      <c r="CM25">
        <v>0</v>
      </c>
      <c r="CO25">
        <v>0</v>
      </c>
      <c r="DN25">
        <v>120</v>
      </c>
      <c r="DO25">
        <v>84</v>
      </c>
      <c r="DP25">
        <v>1.047</v>
      </c>
      <c r="DQ25">
        <v>1</v>
      </c>
      <c r="DR25">
        <v>1</v>
      </c>
      <c r="DS25">
        <v>1</v>
      </c>
      <c r="DT25">
        <v>1</v>
      </c>
      <c r="DU25">
        <v>1005</v>
      </c>
      <c r="DV25" t="s">
        <v>18</v>
      </c>
      <c r="DW25" t="s">
        <v>18</v>
      </c>
      <c r="DX25">
        <v>100</v>
      </c>
      <c r="EE25">
        <v>22090800</v>
      </c>
      <c r="EF25">
        <v>30</v>
      </c>
      <c r="EG25" t="s">
        <v>27</v>
      </c>
      <c r="EH25">
        <v>0</v>
      </c>
      <c r="EJ25">
        <v>1</v>
      </c>
      <c r="EK25">
        <v>86</v>
      </c>
      <c r="EL25" t="s">
        <v>28</v>
      </c>
      <c r="EM25" t="s">
        <v>29</v>
      </c>
      <c r="EQ25">
        <v>64</v>
      </c>
      <c r="ER25">
        <v>4221.82</v>
      </c>
      <c r="ES25">
        <v>2319.61</v>
      </c>
      <c r="ET25">
        <v>302.42</v>
      </c>
      <c r="EU25">
        <v>75.01</v>
      </c>
      <c r="EV25">
        <v>1599.79</v>
      </c>
      <c r="EW25">
        <v>124.54</v>
      </c>
      <c r="EX25">
        <v>0</v>
      </c>
      <c r="EY25">
        <v>0</v>
      </c>
      <c r="EZ25">
        <v>0</v>
      </c>
      <c r="FQ25">
        <v>0</v>
      </c>
      <c r="FR25">
        <f t="shared" si="2"/>
        <v>0</v>
      </c>
      <c r="FS25">
        <v>0</v>
      </c>
      <c r="FX25">
        <v>89</v>
      </c>
      <c r="FY25">
        <v>44</v>
      </c>
    </row>
    <row r="26" spans="1:181" ht="12.75">
      <c r="A26">
        <v>18</v>
      </c>
      <c r="B26">
        <v>1</v>
      </c>
      <c r="C26">
        <v>10</v>
      </c>
      <c r="E26" t="s">
        <v>30</v>
      </c>
      <c r="F26" t="s">
        <v>31</v>
      </c>
      <c r="G26" t="s">
        <v>32</v>
      </c>
      <c r="H26" t="s">
        <v>33</v>
      </c>
      <c r="I26">
        <v>2.1</v>
      </c>
      <c r="J26">
        <v>100</v>
      </c>
      <c r="O26">
        <v>7466.51</v>
      </c>
      <c r="P26">
        <v>7466.51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AA26">
        <v>0</v>
      </c>
      <c r="AB26">
        <v>1146.93</v>
      </c>
      <c r="AC26">
        <v>1146.93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1146.93</v>
      </c>
      <c r="AL26">
        <v>1146.93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1</v>
      </c>
      <c r="AW26">
        <v>1</v>
      </c>
      <c r="AX26">
        <v>1</v>
      </c>
      <c r="AY26">
        <v>1</v>
      </c>
      <c r="AZ26">
        <v>1</v>
      </c>
      <c r="BA26">
        <v>1</v>
      </c>
      <c r="BB26">
        <v>1</v>
      </c>
      <c r="BC26">
        <v>3.1</v>
      </c>
      <c r="BH26">
        <v>3</v>
      </c>
      <c r="BI26">
        <v>1</v>
      </c>
      <c r="BJ26" t="s">
        <v>34</v>
      </c>
      <c r="BM26">
        <v>86</v>
      </c>
      <c r="BN26">
        <v>0</v>
      </c>
      <c r="BO26" t="s">
        <v>31</v>
      </c>
      <c r="BP26">
        <v>1</v>
      </c>
      <c r="BQ26">
        <v>30</v>
      </c>
      <c r="BR26">
        <v>0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Z26">
        <v>0</v>
      </c>
      <c r="CA26">
        <v>0</v>
      </c>
      <c r="CF26">
        <v>0</v>
      </c>
      <c r="CG26">
        <v>0</v>
      </c>
      <c r="CM26">
        <v>0</v>
      </c>
      <c r="CO26">
        <v>0</v>
      </c>
      <c r="DN26">
        <v>120</v>
      </c>
      <c r="DO26">
        <v>84</v>
      </c>
      <c r="DP26">
        <v>1.047</v>
      </c>
      <c r="DQ26">
        <v>1</v>
      </c>
      <c r="DR26">
        <v>1</v>
      </c>
      <c r="DS26">
        <v>1</v>
      </c>
      <c r="DT26">
        <v>1</v>
      </c>
      <c r="DU26">
        <v>1005</v>
      </c>
      <c r="DV26" t="s">
        <v>33</v>
      </c>
      <c r="DW26" t="s">
        <v>33</v>
      </c>
      <c r="DX26">
        <v>1</v>
      </c>
      <c r="EE26">
        <v>22090800</v>
      </c>
      <c r="EF26">
        <v>30</v>
      </c>
      <c r="EG26" t="s">
        <v>27</v>
      </c>
      <c r="EH26">
        <v>0</v>
      </c>
      <c r="EJ26">
        <v>1</v>
      </c>
      <c r="EK26">
        <v>86</v>
      </c>
      <c r="EL26" t="s">
        <v>28</v>
      </c>
      <c r="EM26" t="s">
        <v>29</v>
      </c>
      <c r="EQ26">
        <v>0</v>
      </c>
      <c r="ER26">
        <v>1146.93</v>
      </c>
      <c r="ES26">
        <v>1146.93</v>
      </c>
      <c r="ET26">
        <v>0</v>
      </c>
      <c r="EU26">
        <v>0</v>
      </c>
      <c r="EV26">
        <v>0</v>
      </c>
      <c r="EW26">
        <v>0</v>
      </c>
      <c r="EX26">
        <v>0</v>
      </c>
      <c r="EZ26">
        <v>0</v>
      </c>
      <c r="FQ26">
        <v>0</v>
      </c>
      <c r="FR26">
        <f t="shared" si="2"/>
        <v>0</v>
      </c>
      <c r="FS26">
        <v>0</v>
      </c>
      <c r="FX26">
        <v>0</v>
      </c>
      <c r="FY26">
        <v>0</v>
      </c>
    </row>
    <row r="27" spans="1:181" ht="12.75">
      <c r="A27">
        <v>17</v>
      </c>
      <c r="B27">
        <v>1</v>
      </c>
      <c r="C27">
        <f>ROW(SmtRes!A14)</f>
        <v>14</v>
      </c>
      <c r="D27">
        <f>ROW(EtalonRes!A14)</f>
        <v>14</v>
      </c>
      <c r="E27" t="s">
        <v>35</v>
      </c>
      <c r="F27" t="s">
        <v>36</v>
      </c>
      <c r="G27" t="s">
        <v>37</v>
      </c>
      <c r="H27" t="s">
        <v>38</v>
      </c>
      <c r="I27">
        <v>1</v>
      </c>
      <c r="J27">
        <v>0</v>
      </c>
      <c r="O27">
        <v>64.11</v>
      </c>
      <c r="P27">
        <v>0</v>
      </c>
      <c r="Q27">
        <v>1.32</v>
      </c>
      <c r="R27">
        <v>0.35</v>
      </c>
      <c r="S27">
        <v>62.79</v>
      </c>
      <c r="T27">
        <v>0</v>
      </c>
      <c r="U27">
        <v>0.3250935</v>
      </c>
      <c r="V27">
        <v>0</v>
      </c>
      <c r="W27">
        <v>0</v>
      </c>
      <c r="X27">
        <v>55.88</v>
      </c>
      <c r="Y27">
        <v>27.63</v>
      </c>
      <c r="AA27">
        <v>0</v>
      </c>
      <c r="AB27">
        <v>4.686999999999999</v>
      </c>
      <c r="AC27">
        <v>0</v>
      </c>
      <c r="AD27">
        <v>0.225</v>
      </c>
      <c r="AE27">
        <v>0.025</v>
      </c>
      <c r="AF27">
        <v>4.462</v>
      </c>
      <c r="AG27">
        <v>0</v>
      </c>
      <c r="AH27">
        <v>0.3105</v>
      </c>
      <c r="AI27">
        <v>0</v>
      </c>
      <c r="AJ27">
        <v>0</v>
      </c>
      <c r="AK27">
        <v>4.06</v>
      </c>
      <c r="AL27">
        <v>0</v>
      </c>
      <c r="AM27">
        <v>0.18</v>
      </c>
      <c r="AN27">
        <v>0.02</v>
      </c>
      <c r="AO27">
        <v>3.88</v>
      </c>
      <c r="AP27">
        <v>0</v>
      </c>
      <c r="AQ27">
        <v>0.27</v>
      </c>
      <c r="AR27">
        <v>0</v>
      </c>
      <c r="AS27">
        <v>0</v>
      </c>
      <c r="AT27">
        <v>89</v>
      </c>
      <c r="AU27">
        <v>44</v>
      </c>
      <c r="AV27">
        <v>1.047</v>
      </c>
      <c r="AW27">
        <v>1</v>
      </c>
      <c r="AX27">
        <v>1</v>
      </c>
      <c r="AY27">
        <v>1</v>
      </c>
      <c r="AZ27">
        <v>13.44</v>
      </c>
      <c r="BA27">
        <v>13.44</v>
      </c>
      <c r="BB27">
        <v>5.59</v>
      </c>
      <c r="BC27">
        <v>1</v>
      </c>
      <c r="BH27">
        <v>0</v>
      </c>
      <c r="BI27">
        <v>1</v>
      </c>
      <c r="BJ27" t="s">
        <v>39</v>
      </c>
      <c r="BM27">
        <v>85</v>
      </c>
      <c r="BN27">
        <v>0</v>
      </c>
      <c r="BO27" t="s">
        <v>36</v>
      </c>
      <c r="BP27">
        <v>1</v>
      </c>
      <c r="BQ27">
        <v>30</v>
      </c>
      <c r="BR27">
        <v>0</v>
      </c>
      <c r="BS27">
        <v>13.44</v>
      </c>
      <c r="BT27">
        <v>1</v>
      </c>
      <c r="BU27">
        <v>1</v>
      </c>
      <c r="BV27">
        <v>1</v>
      </c>
      <c r="BW27">
        <v>1</v>
      </c>
      <c r="BX27">
        <v>1</v>
      </c>
      <c r="BZ27">
        <v>89</v>
      </c>
      <c r="CA27">
        <v>44</v>
      </c>
      <c r="CF27">
        <v>0</v>
      </c>
      <c r="CG27">
        <v>0</v>
      </c>
      <c r="CM27">
        <v>0</v>
      </c>
      <c r="CO27">
        <v>0</v>
      </c>
      <c r="DE27" t="s">
        <v>40</v>
      </c>
      <c r="DF27" t="s">
        <v>40</v>
      </c>
      <c r="DG27" t="s">
        <v>41</v>
      </c>
      <c r="DI27" t="s">
        <v>41</v>
      </c>
      <c r="DJ27" t="s">
        <v>40</v>
      </c>
      <c r="DN27">
        <v>105</v>
      </c>
      <c r="DO27">
        <v>70</v>
      </c>
      <c r="DP27">
        <v>1.047</v>
      </c>
      <c r="DQ27">
        <v>1</v>
      </c>
      <c r="DR27">
        <v>1</v>
      </c>
      <c r="DS27">
        <v>1</v>
      </c>
      <c r="DT27">
        <v>1</v>
      </c>
      <c r="DU27">
        <v>1013</v>
      </c>
      <c r="DV27" t="s">
        <v>38</v>
      </c>
      <c r="DW27" t="s">
        <v>38</v>
      </c>
      <c r="DX27">
        <v>1</v>
      </c>
      <c r="EE27">
        <v>22090799</v>
      </c>
      <c r="EF27">
        <v>30</v>
      </c>
      <c r="EG27" t="s">
        <v>27</v>
      </c>
      <c r="EH27">
        <v>0</v>
      </c>
      <c r="EJ27">
        <v>1</v>
      </c>
      <c r="EK27">
        <v>85</v>
      </c>
      <c r="EL27" t="s">
        <v>42</v>
      </c>
      <c r="EM27" t="s">
        <v>43</v>
      </c>
      <c r="EQ27">
        <v>64</v>
      </c>
      <c r="ER27">
        <v>4.06</v>
      </c>
      <c r="ES27">
        <v>0</v>
      </c>
      <c r="ET27">
        <v>0.18</v>
      </c>
      <c r="EU27">
        <v>0.02</v>
      </c>
      <c r="EV27">
        <v>3.88</v>
      </c>
      <c r="EW27">
        <v>0.27</v>
      </c>
      <c r="EX27">
        <v>0</v>
      </c>
      <c r="EY27">
        <v>0</v>
      </c>
      <c r="EZ27">
        <v>0</v>
      </c>
      <c r="FQ27">
        <v>0</v>
      </c>
      <c r="FR27">
        <f t="shared" si="2"/>
        <v>0</v>
      </c>
      <c r="FS27">
        <v>0</v>
      </c>
      <c r="FX27">
        <v>89</v>
      </c>
      <c r="FY27">
        <v>44</v>
      </c>
    </row>
    <row r="28" spans="1:181" ht="12.75">
      <c r="A28">
        <v>18</v>
      </c>
      <c r="B28">
        <v>1</v>
      </c>
      <c r="C28">
        <v>14</v>
      </c>
      <c r="E28" t="s">
        <v>44</v>
      </c>
      <c r="F28" t="s">
        <v>45</v>
      </c>
      <c r="G28" t="s">
        <v>46</v>
      </c>
      <c r="H28" t="s">
        <v>47</v>
      </c>
      <c r="I28">
        <v>1</v>
      </c>
      <c r="J28">
        <v>1</v>
      </c>
      <c r="O28">
        <v>407.14</v>
      </c>
      <c r="P28">
        <v>407.14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AA28">
        <v>0</v>
      </c>
      <c r="AB28">
        <v>328.34</v>
      </c>
      <c r="AC28">
        <v>328.34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328.34</v>
      </c>
      <c r="AL28">
        <v>328.34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1.24</v>
      </c>
      <c r="BH28">
        <v>3</v>
      </c>
      <c r="BI28">
        <v>1</v>
      </c>
      <c r="BJ28" t="s">
        <v>48</v>
      </c>
      <c r="BM28">
        <v>85</v>
      </c>
      <c r="BN28">
        <v>0</v>
      </c>
      <c r="BO28" t="s">
        <v>45</v>
      </c>
      <c r="BP28">
        <v>1</v>
      </c>
      <c r="BQ28">
        <v>30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Z28">
        <v>0</v>
      </c>
      <c r="CA28">
        <v>0</v>
      </c>
      <c r="CF28">
        <v>0</v>
      </c>
      <c r="CG28">
        <v>0</v>
      </c>
      <c r="CM28">
        <v>0</v>
      </c>
      <c r="CO28">
        <v>0</v>
      </c>
      <c r="DN28">
        <v>105</v>
      </c>
      <c r="DO28">
        <v>70</v>
      </c>
      <c r="DP28">
        <v>1.047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47</v>
      </c>
      <c r="DW28" t="s">
        <v>47</v>
      </c>
      <c r="DX28">
        <v>1</v>
      </c>
      <c r="EE28">
        <v>22090799</v>
      </c>
      <c r="EF28">
        <v>30</v>
      </c>
      <c r="EG28" t="s">
        <v>27</v>
      </c>
      <c r="EH28">
        <v>0</v>
      </c>
      <c r="EJ28">
        <v>1</v>
      </c>
      <c r="EK28">
        <v>85</v>
      </c>
      <c r="EL28" t="s">
        <v>42</v>
      </c>
      <c r="EM28" t="s">
        <v>43</v>
      </c>
      <c r="EQ28">
        <v>0</v>
      </c>
      <c r="ER28">
        <v>328.34</v>
      </c>
      <c r="ES28">
        <v>328.34</v>
      </c>
      <c r="ET28">
        <v>0</v>
      </c>
      <c r="EU28">
        <v>0</v>
      </c>
      <c r="EV28">
        <v>0</v>
      </c>
      <c r="EW28">
        <v>0</v>
      </c>
      <c r="EX28">
        <v>0</v>
      </c>
      <c r="EZ28">
        <v>0</v>
      </c>
      <c r="FQ28">
        <v>0</v>
      </c>
      <c r="FR28">
        <f t="shared" si="2"/>
        <v>0</v>
      </c>
      <c r="FS28">
        <v>0</v>
      </c>
      <c r="FX28">
        <v>0</v>
      </c>
      <c r="FY28">
        <v>0</v>
      </c>
    </row>
    <row r="29" spans="1:181" ht="12.75">
      <c r="A29">
        <v>17</v>
      </c>
      <c r="B29">
        <v>1</v>
      </c>
      <c r="C29">
        <f>ROW(SmtRes!A17)</f>
        <v>17</v>
      </c>
      <c r="D29">
        <f>ROW(EtalonRes!A17)</f>
        <v>17</v>
      </c>
      <c r="E29" t="s">
        <v>49</v>
      </c>
      <c r="F29" t="s">
        <v>50</v>
      </c>
      <c r="G29" t="s">
        <v>51</v>
      </c>
      <c r="H29" t="s">
        <v>18</v>
      </c>
      <c r="I29">
        <v>0.0132</v>
      </c>
      <c r="J29">
        <v>0</v>
      </c>
      <c r="O29">
        <v>151.65</v>
      </c>
      <c r="P29">
        <v>0</v>
      </c>
      <c r="Q29">
        <v>0</v>
      </c>
      <c r="R29">
        <v>0</v>
      </c>
      <c r="S29">
        <v>151.65</v>
      </c>
      <c r="T29">
        <v>0</v>
      </c>
      <c r="U29">
        <v>1.104048</v>
      </c>
      <c r="V29">
        <v>0</v>
      </c>
      <c r="W29">
        <v>0</v>
      </c>
      <c r="X29">
        <v>128.9</v>
      </c>
      <c r="Y29">
        <v>66.73</v>
      </c>
      <c r="AA29">
        <v>0</v>
      </c>
      <c r="AB29">
        <v>833.95</v>
      </c>
      <c r="AC29">
        <v>0</v>
      </c>
      <c r="AD29">
        <v>0</v>
      </c>
      <c r="AE29">
        <v>0</v>
      </c>
      <c r="AF29">
        <v>833.95</v>
      </c>
      <c r="AG29">
        <v>0</v>
      </c>
      <c r="AH29">
        <v>81.6</v>
      </c>
      <c r="AI29">
        <v>0</v>
      </c>
      <c r="AJ29">
        <v>0</v>
      </c>
      <c r="AK29">
        <v>833.95</v>
      </c>
      <c r="AL29">
        <v>0</v>
      </c>
      <c r="AM29">
        <v>0</v>
      </c>
      <c r="AN29">
        <v>0</v>
      </c>
      <c r="AO29">
        <v>833.95</v>
      </c>
      <c r="AP29">
        <v>0</v>
      </c>
      <c r="AQ29">
        <v>81.6</v>
      </c>
      <c r="AR29">
        <v>0</v>
      </c>
      <c r="AS29">
        <v>0</v>
      </c>
      <c r="AT29">
        <v>85</v>
      </c>
      <c r="AU29">
        <v>44</v>
      </c>
      <c r="AV29">
        <v>1.025</v>
      </c>
      <c r="AW29">
        <v>1</v>
      </c>
      <c r="AX29">
        <v>1</v>
      </c>
      <c r="AY29">
        <v>1</v>
      </c>
      <c r="AZ29">
        <v>13.44</v>
      </c>
      <c r="BA29">
        <v>13.44</v>
      </c>
      <c r="BB29">
        <v>1</v>
      </c>
      <c r="BC29">
        <v>1</v>
      </c>
      <c r="BH29">
        <v>0</v>
      </c>
      <c r="BI29">
        <v>1</v>
      </c>
      <c r="BJ29" t="s">
        <v>52</v>
      </c>
      <c r="BM29">
        <v>460</v>
      </c>
      <c r="BN29">
        <v>0</v>
      </c>
      <c r="BO29" t="s">
        <v>50</v>
      </c>
      <c r="BP29">
        <v>1</v>
      </c>
      <c r="BQ29">
        <v>60</v>
      </c>
      <c r="BR29">
        <v>0</v>
      </c>
      <c r="BS29">
        <v>13.44</v>
      </c>
      <c r="BT29">
        <v>1</v>
      </c>
      <c r="BU29">
        <v>1</v>
      </c>
      <c r="BV29">
        <v>1</v>
      </c>
      <c r="BW29">
        <v>1</v>
      </c>
      <c r="BX29">
        <v>1</v>
      </c>
      <c r="BZ29">
        <v>85</v>
      </c>
      <c r="CA29">
        <v>44</v>
      </c>
      <c r="CF29">
        <v>0</v>
      </c>
      <c r="CG29">
        <v>0</v>
      </c>
      <c r="CM29">
        <v>0</v>
      </c>
      <c r="CO29">
        <v>0</v>
      </c>
      <c r="DN29">
        <v>100</v>
      </c>
      <c r="DO29">
        <v>64</v>
      </c>
      <c r="DP29">
        <v>1.025</v>
      </c>
      <c r="DQ29">
        <v>1</v>
      </c>
      <c r="DR29">
        <v>1</v>
      </c>
      <c r="DS29">
        <v>1</v>
      </c>
      <c r="DT29">
        <v>1</v>
      </c>
      <c r="DU29">
        <v>1005</v>
      </c>
      <c r="DV29" t="s">
        <v>18</v>
      </c>
      <c r="DW29" t="s">
        <v>18</v>
      </c>
      <c r="DX29">
        <v>100</v>
      </c>
      <c r="EE29">
        <v>22091174</v>
      </c>
      <c r="EF29">
        <v>60</v>
      </c>
      <c r="EG29" t="s">
        <v>20</v>
      </c>
      <c r="EH29">
        <v>0</v>
      </c>
      <c r="EJ29">
        <v>1</v>
      </c>
      <c r="EK29">
        <v>460</v>
      </c>
      <c r="EL29" t="s">
        <v>53</v>
      </c>
      <c r="EM29" t="s">
        <v>54</v>
      </c>
      <c r="EQ29">
        <v>64</v>
      </c>
      <c r="ER29">
        <v>833.95</v>
      </c>
      <c r="ES29">
        <v>0</v>
      </c>
      <c r="ET29">
        <v>0</v>
      </c>
      <c r="EU29">
        <v>0</v>
      </c>
      <c r="EV29">
        <v>833.95</v>
      </c>
      <c r="EW29">
        <v>81.6</v>
      </c>
      <c r="EX29">
        <v>0</v>
      </c>
      <c r="EY29">
        <v>0</v>
      </c>
      <c r="EZ29">
        <v>0</v>
      </c>
      <c r="FQ29">
        <v>0</v>
      </c>
      <c r="FR29">
        <f t="shared" si="2"/>
        <v>0</v>
      </c>
      <c r="FS29">
        <v>0</v>
      </c>
      <c r="FX29">
        <v>85</v>
      </c>
      <c r="FY29">
        <v>44</v>
      </c>
    </row>
    <row r="30" spans="1:181" ht="12.75">
      <c r="A30">
        <v>18</v>
      </c>
      <c r="B30">
        <v>1</v>
      </c>
      <c r="C30">
        <v>16</v>
      </c>
      <c r="E30" t="s">
        <v>55</v>
      </c>
      <c r="F30" t="s">
        <v>56</v>
      </c>
      <c r="G30" t="s">
        <v>57</v>
      </c>
      <c r="H30" t="s">
        <v>33</v>
      </c>
      <c r="I30">
        <v>1.452</v>
      </c>
      <c r="J30">
        <v>110</v>
      </c>
      <c r="O30">
        <v>464.88</v>
      </c>
      <c r="P30">
        <v>464.88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AA30">
        <v>0</v>
      </c>
      <c r="AB30">
        <v>33.56</v>
      </c>
      <c r="AC30">
        <v>33.56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33.56</v>
      </c>
      <c r="AL30">
        <v>33.56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9.54</v>
      </c>
      <c r="BH30">
        <v>3</v>
      </c>
      <c r="BI30">
        <v>1</v>
      </c>
      <c r="BJ30" t="s">
        <v>58</v>
      </c>
      <c r="BM30">
        <v>460</v>
      </c>
      <c r="BN30">
        <v>0</v>
      </c>
      <c r="BO30" t="s">
        <v>56</v>
      </c>
      <c r="BP30">
        <v>1</v>
      </c>
      <c r="BQ30">
        <v>60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BZ30">
        <v>0</v>
      </c>
      <c r="CA30">
        <v>0</v>
      </c>
      <c r="CF30">
        <v>0</v>
      </c>
      <c r="CG30">
        <v>0</v>
      </c>
      <c r="CM30">
        <v>0</v>
      </c>
      <c r="CO30">
        <v>0</v>
      </c>
      <c r="DN30">
        <v>100</v>
      </c>
      <c r="DO30">
        <v>64</v>
      </c>
      <c r="DP30">
        <v>1.025</v>
      </c>
      <c r="DQ30">
        <v>1</v>
      </c>
      <c r="DR30">
        <v>1</v>
      </c>
      <c r="DS30">
        <v>1</v>
      </c>
      <c r="DT30">
        <v>1</v>
      </c>
      <c r="DU30">
        <v>1005</v>
      </c>
      <c r="DV30" t="s">
        <v>33</v>
      </c>
      <c r="DW30" t="s">
        <v>33</v>
      </c>
      <c r="DX30">
        <v>1</v>
      </c>
      <c r="EE30">
        <v>22091174</v>
      </c>
      <c r="EF30">
        <v>60</v>
      </c>
      <c r="EG30" t="s">
        <v>20</v>
      </c>
      <c r="EH30">
        <v>0</v>
      </c>
      <c r="EJ30">
        <v>1</v>
      </c>
      <c r="EK30">
        <v>460</v>
      </c>
      <c r="EL30" t="s">
        <v>53</v>
      </c>
      <c r="EM30" t="s">
        <v>54</v>
      </c>
      <c r="EQ30">
        <v>0</v>
      </c>
      <c r="ER30">
        <v>33.56</v>
      </c>
      <c r="ES30">
        <v>33.56</v>
      </c>
      <c r="ET30">
        <v>0</v>
      </c>
      <c r="EU30">
        <v>0</v>
      </c>
      <c r="EV30">
        <v>0</v>
      </c>
      <c r="EW30">
        <v>0</v>
      </c>
      <c r="EX30">
        <v>0</v>
      </c>
      <c r="EZ30">
        <v>0</v>
      </c>
      <c r="FQ30">
        <v>0</v>
      </c>
      <c r="FR30">
        <f t="shared" si="2"/>
        <v>0</v>
      </c>
      <c r="FS30">
        <v>0</v>
      </c>
      <c r="FX30">
        <v>0</v>
      </c>
      <c r="FY30">
        <v>0</v>
      </c>
    </row>
    <row r="31" spans="1:181" ht="12.75">
      <c r="A31">
        <v>18</v>
      </c>
      <c r="B31">
        <v>1</v>
      </c>
      <c r="C31">
        <v>17</v>
      </c>
      <c r="E31" t="s">
        <v>59</v>
      </c>
      <c r="F31" t="s">
        <v>60</v>
      </c>
      <c r="G31" t="s">
        <v>61</v>
      </c>
      <c r="H31" t="s">
        <v>62</v>
      </c>
      <c r="I31">
        <v>0.0033</v>
      </c>
      <c r="J31">
        <v>0.25</v>
      </c>
      <c r="O31">
        <v>10.41</v>
      </c>
      <c r="P31">
        <v>10.41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AA31">
        <v>0</v>
      </c>
      <c r="AB31">
        <v>1227.38</v>
      </c>
      <c r="AC31">
        <v>1227.38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1227.38</v>
      </c>
      <c r="AL31">
        <v>1227.38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2.57</v>
      </c>
      <c r="BH31">
        <v>3</v>
      </c>
      <c r="BI31">
        <v>1</v>
      </c>
      <c r="BJ31" t="s">
        <v>63</v>
      </c>
      <c r="BM31">
        <v>460</v>
      </c>
      <c r="BN31">
        <v>0</v>
      </c>
      <c r="BO31" t="s">
        <v>60</v>
      </c>
      <c r="BP31">
        <v>1</v>
      </c>
      <c r="BQ31">
        <v>60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Z31">
        <v>0</v>
      </c>
      <c r="CA31">
        <v>0</v>
      </c>
      <c r="CF31">
        <v>0</v>
      </c>
      <c r="CG31">
        <v>0</v>
      </c>
      <c r="CM31">
        <v>0</v>
      </c>
      <c r="CO31">
        <v>0</v>
      </c>
      <c r="DN31">
        <v>100</v>
      </c>
      <c r="DO31">
        <v>64</v>
      </c>
      <c r="DP31">
        <v>1.025</v>
      </c>
      <c r="DQ31">
        <v>1</v>
      </c>
      <c r="DR31">
        <v>1</v>
      </c>
      <c r="DS31">
        <v>1</v>
      </c>
      <c r="DT31">
        <v>1</v>
      </c>
      <c r="DU31">
        <v>1009</v>
      </c>
      <c r="DV31" t="s">
        <v>62</v>
      </c>
      <c r="DW31" t="s">
        <v>62</v>
      </c>
      <c r="DX31">
        <v>1000</v>
      </c>
      <c r="EE31">
        <v>22091174</v>
      </c>
      <c r="EF31">
        <v>60</v>
      </c>
      <c r="EG31" t="s">
        <v>20</v>
      </c>
      <c r="EH31">
        <v>0</v>
      </c>
      <c r="EJ31">
        <v>1</v>
      </c>
      <c r="EK31">
        <v>460</v>
      </c>
      <c r="EL31" t="s">
        <v>53</v>
      </c>
      <c r="EM31" t="s">
        <v>54</v>
      </c>
      <c r="EQ31">
        <v>0</v>
      </c>
      <c r="ER31">
        <v>1227.38</v>
      </c>
      <c r="ES31">
        <v>1227.38</v>
      </c>
      <c r="ET31">
        <v>0</v>
      </c>
      <c r="EU31">
        <v>0</v>
      </c>
      <c r="EV31">
        <v>0</v>
      </c>
      <c r="EW31">
        <v>0</v>
      </c>
      <c r="EX31">
        <v>0</v>
      </c>
      <c r="EZ31">
        <v>0</v>
      </c>
      <c r="FQ31">
        <v>0</v>
      </c>
      <c r="FR31">
        <f t="shared" si="2"/>
        <v>0</v>
      </c>
      <c r="FS31">
        <v>0</v>
      </c>
      <c r="FX31">
        <v>0</v>
      </c>
      <c r="FY31">
        <v>0</v>
      </c>
    </row>
    <row r="32" spans="1:181" ht="12.75">
      <c r="A32">
        <v>17</v>
      </c>
      <c r="B32">
        <v>1</v>
      </c>
      <c r="C32">
        <f>ROW(SmtRes!A24)</f>
        <v>24</v>
      </c>
      <c r="D32">
        <f>ROW(EtalonRes!A24)</f>
        <v>24</v>
      </c>
      <c r="E32" t="s">
        <v>64</v>
      </c>
      <c r="F32" t="s">
        <v>65</v>
      </c>
      <c r="G32" t="s">
        <v>66</v>
      </c>
      <c r="H32" t="s">
        <v>18</v>
      </c>
      <c r="I32">
        <v>0.0132</v>
      </c>
      <c r="J32">
        <v>0</v>
      </c>
      <c r="O32">
        <v>478.97</v>
      </c>
      <c r="P32">
        <v>0.04</v>
      </c>
      <c r="Q32">
        <v>11.4</v>
      </c>
      <c r="R32">
        <v>4.68</v>
      </c>
      <c r="S32">
        <v>467.53</v>
      </c>
      <c r="T32">
        <v>0</v>
      </c>
      <c r="U32">
        <v>2.7851505</v>
      </c>
      <c r="V32">
        <v>0</v>
      </c>
      <c r="W32">
        <v>0</v>
      </c>
      <c r="X32">
        <v>397.4</v>
      </c>
      <c r="Y32">
        <v>205.71</v>
      </c>
      <c r="AA32">
        <v>0</v>
      </c>
      <c r="AB32">
        <v>2680.639</v>
      </c>
      <c r="AC32">
        <v>0.71</v>
      </c>
      <c r="AD32">
        <v>108.8625</v>
      </c>
      <c r="AE32">
        <v>25.725</v>
      </c>
      <c r="AF32">
        <v>2571.0665</v>
      </c>
      <c r="AG32">
        <v>0</v>
      </c>
      <c r="AH32">
        <v>205.85</v>
      </c>
      <c r="AI32">
        <v>0</v>
      </c>
      <c r="AJ32">
        <v>0</v>
      </c>
      <c r="AK32">
        <v>2323.51</v>
      </c>
      <c r="AL32">
        <v>0.71</v>
      </c>
      <c r="AM32">
        <v>87.09</v>
      </c>
      <c r="AN32">
        <v>20.58</v>
      </c>
      <c r="AO32">
        <v>2235.71</v>
      </c>
      <c r="AP32">
        <v>0</v>
      </c>
      <c r="AQ32">
        <v>179</v>
      </c>
      <c r="AR32">
        <v>0</v>
      </c>
      <c r="AS32">
        <v>0</v>
      </c>
      <c r="AT32">
        <v>85</v>
      </c>
      <c r="AU32">
        <v>44</v>
      </c>
      <c r="AV32">
        <v>1.025</v>
      </c>
      <c r="AW32">
        <v>1</v>
      </c>
      <c r="AX32">
        <v>1</v>
      </c>
      <c r="AY32">
        <v>1</v>
      </c>
      <c r="AZ32">
        <v>13.44</v>
      </c>
      <c r="BA32">
        <v>13.44</v>
      </c>
      <c r="BB32">
        <v>7.74</v>
      </c>
      <c r="BC32">
        <v>4.56</v>
      </c>
      <c r="BH32">
        <v>0</v>
      </c>
      <c r="BI32">
        <v>1</v>
      </c>
      <c r="BJ32" t="s">
        <v>67</v>
      </c>
      <c r="BM32">
        <v>115</v>
      </c>
      <c r="BN32">
        <v>0</v>
      </c>
      <c r="BO32" t="s">
        <v>65</v>
      </c>
      <c r="BP32">
        <v>1</v>
      </c>
      <c r="BQ32">
        <v>30</v>
      </c>
      <c r="BR32">
        <v>0</v>
      </c>
      <c r="BS32">
        <v>13.44</v>
      </c>
      <c r="BT32">
        <v>1</v>
      </c>
      <c r="BU32">
        <v>1</v>
      </c>
      <c r="BV32">
        <v>1</v>
      </c>
      <c r="BW32">
        <v>1</v>
      </c>
      <c r="BX32">
        <v>1</v>
      </c>
      <c r="BZ32">
        <v>85</v>
      </c>
      <c r="CA32">
        <v>44</v>
      </c>
      <c r="CF32">
        <v>0</v>
      </c>
      <c r="CG32">
        <v>0</v>
      </c>
      <c r="CM32">
        <v>0</v>
      </c>
      <c r="CO32">
        <v>0</v>
      </c>
      <c r="DE32" t="s">
        <v>40</v>
      </c>
      <c r="DF32" t="s">
        <v>40</v>
      </c>
      <c r="DG32" t="s">
        <v>41</v>
      </c>
      <c r="DI32" t="s">
        <v>41</v>
      </c>
      <c r="DJ32" t="s">
        <v>40</v>
      </c>
      <c r="DN32">
        <v>100</v>
      </c>
      <c r="DO32">
        <v>64</v>
      </c>
      <c r="DP32">
        <v>1.025</v>
      </c>
      <c r="DQ32">
        <v>1</v>
      </c>
      <c r="DR32">
        <v>1</v>
      </c>
      <c r="DS32">
        <v>1</v>
      </c>
      <c r="DT32">
        <v>1</v>
      </c>
      <c r="DU32">
        <v>1005</v>
      </c>
      <c r="DV32" t="s">
        <v>18</v>
      </c>
      <c r="DW32" t="s">
        <v>18</v>
      </c>
      <c r="DX32">
        <v>100</v>
      </c>
      <c r="EE32">
        <v>22090829</v>
      </c>
      <c r="EF32">
        <v>30</v>
      </c>
      <c r="EG32" t="s">
        <v>27</v>
      </c>
      <c r="EH32">
        <v>0</v>
      </c>
      <c r="EJ32">
        <v>1</v>
      </c>
      <c r="EK32">
        <v>115</v>
      </c>
      <c r="EL32" t="s">
        <v>68</v>
      </c>
      <c r="EM32" t="s">
        <v>69</v>
      </c>
      <c r="EQ32">
        <v>64</v>
      </c>
      <c r="ER32">
        <v>2323.51</v>
      </c>
      <c r="ES32">
        <v>0.71</v>
      </c>
      <c r="ET32">
        <v>87.09</v>
      </c>
      <c r="EU32">
        <v>20.58</v>
      </c>
      <c r="EV32">
        <v>2235.71</v>
      </c>
      <c r="EW32">
        <v>179</v>
      </c>
      <c r="EX32">
        <v>0</v>
      </c>
      <c r="EY32">
        <v>0</v>
      </c>
      <c r="EZ32">
        <v>0</v>
      </c>
      <c r="FQ32">
        <v>0</v>
      </c>
      <c r="FR32">
        <f t="shared" si="2"/>
        <v>0</v>
      </c>
      <c r="FS32">
        <v>0</v>
      </c>
      <c r="FX32">
        <v>85</v>
      </c>
      <c r="FY32">
        <v>44</v>
      </c>
    </row>
    <row r="33" spans="1:181" ht="12.75">
      <c r="A33">
        <v>18</v>
      </c>
      <c r="B33">
        <v>1</v>
      </c>
      <c r="C33">
        <v>21</v>
      </c>
      <c r="E33" t="s">
        <v>70</v>
      </c>
      <c r="F33" t="s">
        <v>71</v>
      </c>
      <c r="G33" t="s">
        <v>72</v>
      </c>
      <c r="H33" t="s">
        <v>73</v>
      </c>
      <c r="I33">
        <v>0.003252</v>
      </c>
      <c r="J33">
        <v>0.2464</v>
      </c>
      <c r="O33">
        <v>0.08</v>
      </c>
      <c r="P33">
        <v>0.08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AA33">
        <v>0</v>
      </c>
      <c r="AB33">
        <v>7.07</v>
      </c>
      <c r="AC33">
        <v>7.07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7.07</v>
      </c>
      <c r="AL33">
        <v>7.07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3.59</v>
      </c>
      <c r="BH33">
        <v>3</v>
      </c>
      <c r="BI33">
        <v>1</v>
      </c>
      <c r="BJ33" t="s">
        <v>74</v>
      </c>
      <c r="BM33">
        <v>115</v>
      </c>
      <c r="BN33">
        <v>0</v>
      </c>
      <c r="BO33" t="s">
        <v>71</v>
      </c>
      <c r="BP33">
        <v>1</v>
      </c>
      <c r="BQ33">
        <v>30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Z33">
        <v>0</v>
      </c>
      <c r="CA33">
        <v>0</v>
      </c>
      <c r="CF33">
        <v>0</v>
      </c>
      <c r="CG33">
        <v>0</v>
      </c>
      <c r="CM33">
        <v>0</v>
      </c>
      <c r="CO33">
        <v>0</v>
      </c>
      <c r="DN33">
        <v>100</v>
      </c>
      <c r="DO33">
        <v>64</v>
      </c>
      <c r="DP33">
        <v>1.025</v>
      </c>
      <c r="DQ33">
        <v>1</v>
      </c>
      <c r="DR33">
        <v>1</v>
      </c>
      <c r="DS33">
        <v>1</v>
      </c>
      <c r="DT33">
        <v>1</v>
      </c>
      <c r="DU33">
        <v>1007</v>
      </c>
      <c r="DV33" t="s">
        <v>73</v>
      </c>
      <c r="DW33" t="s">
        <v>73</v>
      </c>
      <c r="DX33">
        <v>1</v>
      </c>
      <c r="EE33">
        <v>22090829</v>
      </c>
      <c r="EF33">
        <v>30</v>
      </c>
      <c r="EG33" t="s">
        <v>27</v>
      </c>
      <c r="EH33">
        <v>0</v>
      </c>
      <c r="EJ33">
        <v>1</v>
      </c>
      <c r="EK33">
        <v>115</v>
      </c>
      <c r="EL33" t="s">
        <v>68</v>
      </c>
      <c r="EM33" t="s">
        <v>69</v>
      </c>
      <c r="EQ33">
        <v>0</v>
      </c>
      <c r="ER33">
        <v>7.07</v>
      </c>
      <c r="ES33">
        <v>7.07</v>
      </c>
      <c r="ET33">
        <v>0</v>
      </c>
      <c r="EU33">
        <v>0</v>
      </c>
      <c r="EV33">
        <v>0</v>
      </c>
      <c r="EW33">
        <v>0</v>
      </c>
      <c r="EX33">
        <v>0</v>
      </c>
      <c r="EZ33">
        <v>0</v>
      </c>
      <c r="FQ33">
        <v>0</v>
      </c>
      <c r="FR33">
        <f t="shared" si="2"/>
        <v>0</v>
      </c>
      <c r="FS33">
        <v>0</v>
      </c>
      <c r="FX33">
        <v>0</v>
      </c>
      <c r="FY33">
        <v>0</v>
      </c>
    </row>
    <row r="34" spans="1:181" ht="12.75">
      <c r="A34">
        <v>18</v>
      </c>
      <c r="B34">
        <v>1</v>
      </c>
      <c r="C34">
        <v>24</v>
      </c>
      <c r="E34" t="s">
        <v>75</v>
      </c>
      <c r="F34" t="s">
        <v>76</v>
      </c>
      <c r="G34" t="s">
        <v>77</v>
      </c>
      <c r="H34" t="s">
        <v>62</v>
      </c>
      <c r="I34">
        <v>0.018586</v>
      </c>
      <c r="J34">
        <v>1.408</v>
      </c>
      <c r="O34">
        <v>74.22</v>
      </c>
      <c r="P34">
        <v>74.22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AA34">
        <v>0</v>
      </c>
      <c r="AB34">
        <v>1823.55</v>
      </c>
      <c r="AC34">
        <v>1823.55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1823.55</v>
      </c>
      <c r="AL34">
        <v>1823.55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2.19</v>
      </c>
      <c r="BH34">
        <v>3</v>
      </c>
      <c r="BI34">
        <v>1</v>
      </c>
      <c r="BJ34" t="s">
        <v>78</v>
      </c>
      <c r="BM34">
        <v>115</v>
      </c>
      <c r="BN34">
        <v>0</v>
      </c>
      <c r="BO34" t="s">
        <v>76</v>
      </c>
      <c r="BP34">
        <v>1</v>
      </c>
      <c r="BQ34">
        <v>30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0</v>
      </c>
      <c r="CA34">
        <v>0</v>
      </c>
      <c r="CF34">
        <v>0</v>
      </c>
      <c r="CG34">
        <v>0</v>
      </c>
      <c r="CM34">
        <v>0</v>
      </c>
      <c r="CO34">
        <v>0</v>
      </c>
      <c r="DN34">
        <v>100</v>
      </c>
      <c r="DO34">
        <v>64</v>
      </c>
      <c r="DP34">
        <v>1.025</v>
      </c>
      <c r="DQ34">
        <v>1</v>
      </c>
      <c r="DR34">
        <v>1</v>
      </c>
      <c r="DS34">
        <v>1</v>
      </c>
      <c r="DT34">
        <v>1</v>
      </c>
      <c r="DU34">
        <v>1009</v>
      </c>
      <c r="DV34" t="s">
        <v>62</v>
      </c>
      <c r="DW34" t="s">
        <v>62</v>
      </c>
      <c r="DX34">
        <v>1000</v>
      </c>
      <c r="EE34">
        <v>22090829</v>
      </c>
      <c r="EF34">
        <v>30</v>
      </c>
      <c r="EG34" t="s">
        <v>27</v>
      </c>
      <c r="EH34">
        <v>0</v>
      </c>
      <c r="EJ34">
        <v>1</v>
      </c>
      <c r="EK34">
        <v>115</v>
      </c>
      <c r="EL34" t="s">
        <v>68</v>
      </c>
      <c r="EM34" t="s">
        <v>69</v>
      </c>
      <c r="EQ34">
        <v>0</v>
      </c>
      <c r="ER34">
        <v>1823.55</v>
      </c>
      <c r="ES34">
        <v>1823.55</v>
      </c>
      <c r="ET34">
        <v>0</v>
      </c>
      <c r="EU34">
        <v>0</v>
      </c>
      <c r="EV34">
        <v>0</v>
      </c>
      <c r="EW34">
        <v>0</v>
      </c>
      <c r="EX34">
        <v>0</v>
      </c>
      <c r="EZ34">
        <v>0</v>
      </c>
      <c r="FQ34">
        <v>0</v>
      </c>
      <c r="FR34">
        <f t="shared" si="2"/>
        <v>0</v>
      </c>
      <c r="FS34">
        <v>0</v>
      </c>
      <c r="FX34">
        <v>0</v>
      </c>
      <c r="FY34">
        <v>0</v>
      </c>
    </row>
    <row r="35" spans="1:181" ht="12.75">
      <c r="A35">
        <v>18</v>
      </c>
      <c r="B35">
        <v>1</v>
      </c>
      <c r="C35">
        <v>22</v>
      </c>
      <c r="E35" t="s">
        <v>79</v>
      </c>
      <c r="F35" t="s">
        <v>80</v>
      </c>
      <c r="G35" t="s">
        <v>81</v>
      </c>
      <c r="H35" t="s">
        <v>73</v>
      </c>
      <c r="I35">
        <v>0.001056</v>
      </c>
      <c r="J35">
        <v>0.08</v>
      </c>
      <c r="O35">
        <v>3.29</v>
      </c>
      <c r="P35">
        <v>3.29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AA35">
        <v>0</v>
      </c>
      <c r="AB35">
        <v>481.69</v>
      </c>
      <c r="AC35">
        <v>481.69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481.69</v>
      </c>
      <c r="AL35">
        <v>481.69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6.47</v>
      </c>
      <c r="BH35">
        <v>3</v>
      </c>
      <c r="BI35">
        <v>1</v>
      </c>
      <c r="BJ35" t="s">
        <v>82</v>
      </c>
      <c r="BM35">
        <v>115</v>
      </c>
      <c r="BN35">
        <v>0</v>
      </c>
      <c r="BO35" t="s">
        <v>80</v>
      </c>
      <c r="BP35">
        <v>1</v>
      </c>
      <c r="BQ35">
        <v>30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Z35">
        <v>0</v>
      </c>
      <c r="CA35">
        <v>0</v>
      </c>
      <c r="CF35">
        <v>0</v>
      </c>
      <c r="CG35">
        <v>0</v>
      </c>
      <c r="CM35">
        <v>0</v>
      </c>
      <c r="CO35">
        <v>0</v>
      </c>
      <c r="DN35">
        <v>100</v>
      </c>
      <c r="DO35">
        <v>64</v>
      </c>
      <c r="DP35">
        <v>1.025</v>
      </c>
      <c r="DQ35">
        <v>1</v>
      </c>
      <c r="DR35">
        <v>1</v>
      </c>
      <c r="DS35">
        <v>1</v>
      </c>
      <c r="DT35">
        <v>1</v>
      </c>
      <c r="DU35">
        <v>1007</v>
      </c>
      <c r="DV35" t="s">
        <v>73</v>
      </c>
      <c r="DW35" t="s">
        <v>73</v>
      </c>
      <c r="DX35">
        <v>1</v>
      </c>
      <c r="EE35">
        <v>22090829</v>
      </c>
      <c r="EF35">
        <v>30</v>
      </c>
      <c r="EG35" t="s">
        <v>27</v>
      </c>
      <c r="EH35">
        <v>0</v>
      </c>
      <c r="EJ35">
        <v>1</v>
      </c>
      <c r="EK35">
        <v>115</v>
      </c>
      <c r="EL35" t="s">
        <v>68</v>
      </c>
      <c r="EM35" t="s">
        <v>69</v>
      </c>
      <c r="EQ35">
        <v>0</v>
      </c>
      <c r="ER35">
        <v>481.69</v>
      </c>
      <c r="ES35">
        <v>481.69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0</v>
      </c>
      <c r="FQ35">
        <v>0</v>
      </c>
      <c r="FR35">
        <f t="shared" si="2"/>
        <v>0</v>
      </c>
      <c r="FS35">
        <v>0</v>
      </c>
      <c r="FX35">
        <v>0</v>
      </c>
      <c r="FY35">
        <v>0</v>
      </c>
    </row>
    <row r="36" spans="1:181" ht="12.75">
      <c r="A36">
        <v>18</v>
      </c>
      <c r="B36">
        <v>1</v>
      </c>
      <c r="C36">
        <v>23</v>
      </c>
      <c r="E36" t="s">
        <v>83</v>
      </c>
      <c r="F36" t="s">
        <v>84</v>
      </c>
      <c r="G36" t="s">
        <v>85</v>
      </c>
      <c r="H36" t="s">
        <v>73</v>
      </c>
      <c r="I36">
        <v>0.044381</v>
      </c>
      <c r="J36">
        <v>3.362197</v>
      </c>
      <c r="O36">
        <v>128.56</v>
      </c>
      <c r="P36">
        <v>128.56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AA36">
        <v>0</v>
      </c>
      <c r="AB36">
        <v>540.42</v>
      </c>
      <c r="AC36">
        <v>540.42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540.42</v>
      </c>
      <c r="AL36">
        <v>540.42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5.36</v>
      </c>
      <c r="BH36">
        <v>3</v>
      </c>
      <c r="BI36">
        <v>1</v>
      </c>
      <c r="BJ36" t="s">
        <v>86</v>
      </c>
      <c r="BM36">
        <v>115</v>
      </c>
      <c r="BN36">
        <v>0</v>
      </c>
      <c r="BO36" t="s">
        <v>84</v>
      </c>
      <c r="BP36">
        <v>1</v>
      </c>
      <c r="BQ36">
        <v>30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BZ36">
        <v>0</v>
      </c>
      <c r="CA36">
        <v>0</v>
      </c>
      <c r="CF36">
        <v>0</v>
      </c>
      <c r="CG36">
        <v>0</v>
      </c>
      <c r="CM36">
        <v>0</v>
      </c>
      <c r="CO36">
        <v>0</v>
      </c>
      <c r="DN36">
        <v>100</v>
      </c>
      <c r="DO36">
        <v>64</v>
      </c>
      <c r="DP36">
        <v>1.025</v>
      </c>
      <c r="DQ36">
        <v>1</v>
      </c>
      <c r="DR36">
        <v>1</v>
      </c>
      <c r="DS36">
        <v>1</v>
      </c>
      <c r="DT36">
        <v>1</v>
      </c>
      <c r="DU36">
        <v>1007</v>
      </c>
      <c r="DV36" t="s">
        <v>73</v>
      </c>
      <c r="DW36" t="s">
        <v>73</v>
      </c>
      <c r="DX36">
        <v>1</v>
      </c>
      <c r="EE36">
        <v>22090829</v>
      </c>
      <c r="EF36">
        <v>30</v>
      </c>
      <c r="EG36" t="s">
        <v>27</v>
      </c>
      <c r="EH36">
        <v>0</v>
      </c>
      <c r="EJ36">
        <v>1</v>
      </c>
      <c r="EK36">
        <v>115</v>
      </c>
      <c r="EL36" t="s">
        <v>68</v>
      </c>
      <c r="EM36" t="s">
        <v>69</v>
      </c>
      <c r="EQ36">
        <v>0</v>
      </c>
      <c r="ER36">
        <v>540.42</v>
      </c>
      <c r="ES36">
        <v>540.42</v>
      </c>
      <c r="ET36">
        <v>0</v>
      </c>
      <c r="EU36">
        <v>0</v>
      </c>
      <c r="EV36">
        <v>0</v>
      </c>
      <c r="EW36">
        <v>0</v>
      </c>
      <c r="EX36">
        <v>0</v>
      </c>
      <c r="EZ36">
        <v>0</v>
      </c>
      <c r="FQ36">
        <v>0</v>
      </c>
      <c r="FR36">
        <f t="shared" si="2"/>
        <v>0</v>
      </c>
      <c r="FS36">
        <v>0</v>
      </c>
      <c r="FX36">
        <v>0</v>
      </c>
      <c r="FY36">
        <v>0</v>
      </c>
    </row>
    <row r="37" spans="1:181" ht="12.75">
      <c r="A37">
        <v>17</v>
      </c>
      <c r="B37">
        <v>1</v>
      </c>
      <c r="C37">
        <f>ROW(SmtRes!A30)</f>
        <v>30</v>
      </c>
      <c r="D37">
        <f>ROW(EtalonRes!A30)</f>
        <v>30</v>
      </c>
      <c r="E37" t="s">
        <v>87</v>
      </c>
      <c r="F37" t="s">
        <v>88</v>
      </c>
      <c r="G37" t="s">
        <v>89</v>
      </c>
      <c r="H37" t="s">
        <v>18</v>
      </c>
      <c r="I37">
        <v>0.0132</v>
      </c>
      <c r="J37">
        <v>0</v>
      </c>
      <c r="O37">
        <v>118.76</v>
      </c>
      <c r="P37">
        <v>0.26</v>
      </c>
      <c r="Q37">
        <v>3.41</v>
      </c>
      <c r="R37">
        <v>1.4</v>
      </c>
      <c r="S37">
        <v>115.09</v>
      </c>
      <c r="T37">
        <v>0</v>
      </c>
      <c r="U37">
        <v>0.7281846</v>
      </c>
      <c r="V37">
        <v>0</v>
      </c>
      <c r="W37">
        <v>0</v>
      </c>
      <c r="X37">
        <v>97.83</v>
      </c>
      <c r="Y37">
        <v>50.64</v>
      </c>
      <c r="AA37">
        <v>0</v>
      </c>
      <c r="AB37">
        <v>669.8280000000001</v>
      </c>
      <c r="AC37">
        <v>4.34</v>
      </c>
      <c r="AD37">
        <v>32.5625</v>
      </c>
      <c r="AE37">
        <v>7.7</v>
      </c>
      <c r="AF37">
        <v>632.9255</v>
      </c>
      <c r="AG37">
        <v>0</v>
      </c>
      <c r="AH37">
        <v>53.82</v>
      </c>
      <c r="AI37">
        <v>0</v>
      </c>
      <c r="AJ37">
        <v>0</v>
      </c>
      <c r="AK37">
        <v>580.76</v>
      </c>
      <c r="AL37">
        <v>4.34</v>
      </c>
      <c r="AM37">
        <v>26.05</v>
      </c>
      <c r="AN37">
        <v>6.16</v>
      </c>
      <c r="AO37">
        <v>550.37</v>
      </c>
      <c r="AP37">
        <v>0</v>
      </c>
      <c r="AQ37">
        <v>46.8</v>
      </c>
      <c r="AR37">
        <v>0</v>
      </c>
      <c r="AS37">
        <v>0</v>
      </c>
      <c r="AT37">
        <v>85</v>
      </c>
      <c r="AU37">
        <v>44</v>
      </c>
      <c r="AV37">
        <v>1.025</v>
      </c>
      <c r="AW37">
        <v>1</v>
      </c>
      <c r="AX37">
        <v>1</v>
      </c>
      <c r="AY37">
        <v>1</v>
      </c>
      <c r="AZ37">
        <v>13.44</v>
      </c>
      <c r="BA37">
        <v>13.44</v>
      </c>
      <c r="BB37">
        <v>7.74</v>
      </c>
      <c r="BC37">
        <v>4.56</v>
      </c>
      <c r="BH37">
        <v>0</v>
      </c>
      <c r="BI37">
        <v>1</v>
      </c>
      <c r="BJ37" t="s">
        <v>90</v>
      </c>
      <c r="BM37">
        <v>117</v>
      </c>
      <c r="BN37">
        <v>0</v>
      </c>
      <c r="BO37" t="s">
        <v>88</v>
      </c>
      <c r="BP37">
        <v>1</v>
      </c>
      <c r="BQ37">
        <v>30</v>
      </c>
      <c r="BR37">
        <v>0</v>
      </c>
      <c r="BS37">
        <v>13.44</v>
      </c>
      <c r="BT37">
        <v>1</v>
      </c>
      <c r="BU37">
        <v>1</v>
      </c>
      <c r="BV37">
        <v>1</v>
      </c>
      <c r="BW37">
        <v>1</v>
      </c>
      <c r="BX37">
        <v>1</v>
      </c>
      <c r="BZ37">
        <v>85</v>
      </c>
      <c r="CA37">
        <v>44</v>
      </c>
      <c r="CF37">
        <v>0</v>
      </c>
      <c r="CG37">
        <v>0</v>
      </c>
      <c r="CM37">
        <v>0</v>
      </c>
      <c r="CO37">
        <v>0</v>
      </c>
      <c r="DE37" t="s">
        <v>40</v>
      </c>
      <c r="DF37" t="s">
        <v>40</v>
      </c>
      <c r="DG37" t="s">
        <v>41</v>
      </c>
      <c r="DI37" t="s">
        <v>41</v>
      </c>
      <c r="DJ37" t="s">
        <v>40</v>
      </c>
      <c r="DN37">
        <v>100</v>
      </c>
      <c r="DO37">
        <v>64</v>
      </c>
      <c r="DP37">
        <v>1.025</v>
      </c>
      <c r="DQ37">
        <v>1</v>
      </c>
      <c r="DR37">
        <v>1</v>
      </c>
      <c r="DS37">
        <v>1</v>
      </c>
      <c r="DT37">
        <v>1</v>
      </c>
      <c r="DU37">
        <v>1005</v>
      </c>
      <c r="DV37" t="s">
        <v>18</v>
      </c>
      <c r="DW37" t="s">
        <v>18</v>
      </c>
      <c r="DX37">
        <v>100</v>
      </c>
      <c r="EE37">
        <v>22090831</v>
      </c>
      <c r="EF37">
        <v>30</v>
      </c>
      <c r="EG37" t="s">
        <v>27</v>
      </c>
      <c r="EH37">
        <v>0</v>
      </c>
      <c r="EJ37">
        <v>1</v>
      </c>
      <c r="EK37">
        <v>117</v>
      </c>
      <c r="EL37" t="s">
        <v>91</v>
      </c>
      <c r="EM37" t="s">
        <v>92</v>
      </c>
      <c r="EQ37">
        <v>64</v>
      </c>
      <c r="ER37">
        <v>580.76</v>
      </c>
      <c r="ES37">
        <v>4.34</v>
      </c>
      <c r="ET37">
        <v>26.05</v>
      </c>
      <c r="EU37">
        <v>6.16</v>
      </c>
      <c r="EV37">
        <v>550.37</v>
      </c>
      <c r="EW37">
        <v>46.8</v>
      </c>
      <c r="EX37">
        <v>0</v>
      </c>
      <c r="EY37">
        <v>0</v>
      </c>
      <c r="EZ37">
        <v>0</v>
      </c>
      <c r="FQ37">
        <v>0</v>
      </c>
      <c r="FR37">
        <f t="shared" si="2"/>
        <v>0</v>
      </c>
      <c r="FS37">
        <v>0</v>
      </c>
      <c r="FX37">
        <v>85</v>
      </c>
      <c r="FY37">
        <v>44</v>
      </c>
    </row>
    <row r="38" spans="1:181" ht="12.75">
      <c r="A38">
        <v>18</v>
      </c>
      <c r="B38">
        <v>1</v>
      </c>
      <c r="C38">
        <v>28</v>
      </c>
      <c r="E38" t="s">
        <v>93</v>
      </c>
      <c r="F38" t="s">
        <v>94</v>
      </c>
      <c r="G38" t="s">
        <v>95</v>
      </c>
      <c r="H38" t="s">
        <v>62</v>
      </c>
      <c r="I38">
        <v>0.000669</v>
      </c>
      <c r="J38">
        <v>0.0507</v>
      </c>
      <c r="O38">
        <v>8.51</v>
      </c>
      <c r="P38">
        <v>8.51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AA38">
        <v>0</v>
      </c>
      <c r="AB38">
        <v>3015.62</v>
      </c>
      <c r="AC38">
        <v>3015.62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3015.62</v>
      </c>
      <c r="AL38">
        <v>3015.62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4.22</v>
      </c>
      <c r="BH38">
        <v>3</v>
      </c>
      <c r="BI38">
        <v>1</v>
      </c>
      <c r="BJ38" t="s">
        <v>96</v>
      </c>
      <c r="BM38">
        <v>117</v>
      </c>
      <c r="BN38">
        <v>0</v>
      </c>
      <c r="BO38" t="s">
        <v>94</v>
      </c>
      <c r="BP38">
        <v>1</v>
      </c>
      <c r="BQ38">
        <v>30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BZ38">
        <v>0</v>
      </c>
      <c r="CA38">
        <v>0</v>
      </c>
      <c r="CF38">
        <v>0</v>
      </c>
      <c r="CG38">
        <v>0</v>
      </c>
      <c r="CM38">
        <v>0</v>
      </c>
      <c r="CO38">
        <v>0</v>
      </c>
      <c r="DN38">
        <v>100</v>
      </c>
      <c r="DO38">
        <v>64</v>
      </c>
      <c r="DP38">
        <v>1.025</v>
      </c>
      <c r="DQ38">
        <v>1</v>
      </c>
      <c r="DR38">
        <v>1</v>
      </c>
      <c r="DS38">
        <v>1</v>
      </c>
      <c r="DT38">
        <v>1</v>
      </c>
      <c r="DU38">
        <v>1009</v>
      </c>
      <c r="DV38" t="s">
        <v>62</v>
      </c>
      <c r="DW38" t="s">
        <v>62</v>
      </c>
      <c r="DX38">
        <v>1000</v>
      </c>
      <c r="EE38">
        <v>22090831</v>
      </c>
      <c r="EF38">
        <v>30</v>
      </c>
      <c r="EG38" t="s">
        <v>27</v>
      </c>
      <c r="EH38">
        <v>0</v>
      </c>
      <c r="EJ38">
        <v>1</v>
      </c>
      <c r="EK38">
        <v>117</v>
      </c>
      <c r="EL38" t="s">
        <v>91</v>
      </c>
      <c r="EM38" t="s">
        <v>92</v>
      </c>
      <c r="EQ38">
        <v>0</v>
      </c>
      <c r="ER38">
        <v>3015.62</v>
      </c>
      <c r="ES38">
        <v>3015.62</v>
      </c>
      <c r="ET38">
        <v>0</v>
      </c>
      <c r="EU38">
        <v>0</v>
      </c>
      <c r="EV38">
        <v>0</v>
      </c>
      <c r="EW38">
        <v>0</v>
      </c>
      <c r="EX38">
        <v>0</v>
      </c>
      <c r="EZ38">
        <v>0</v>
      </c>
      <c r="FQ38">
        <v>0</v>
      </c>
      <c r="FR38">
        <f t="shared" si="2"/>
        <v>0</v>
      </c>
      <c r="FS38">
        <v>0</v>
      </c>
      <c r="FX38">
        <v>0</v>
      </c>
      <c r="FY38">
        <v>0</v>
      </c>
    </row>
    <row r="39" spans="1:181" ht="12.75">
      <c r="A39">
        <v>18</v>
      </c>
      <c r="B39">
        <v>1</v>
      </c>
      <c r="C39">
        <v>29</v>
      </c>
      <c r="E39" t="s">
        <v>97</v>
      </c>
      <c r="F39" t="s">
        <v>98</v>
      </c>
      <c r="G39" t="s">
        <v>99</v>
      </c>
      <c r="H39" t="s">
        <v>62</v>
      </c>
      <c r="I39">
        <v>0.000331</v>
      </c>
      <c r="J39">
        <v>0.0251</v>
      </c>
      <c r="O39">
        <v>27.01</v>
      </c>
      <c r="P39">
        <v>27.01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AA39">
        <v>0</v>
      </c>
      <c r="AB39">
        <v>42508.19</v>
      </c>
      <c r="AC39">
        <v>42508.19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42508.19</v>
      </c>
      <c r="AL39">
        <v>42508.19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1.92</v>
      </c>
      <c r="BH39">
        <v>3</v>
      </c>
      <c r="BI39">
        <v>1</v>
      </c>
      <c r="BJ39" t="s">
        <v>100</v>
      </c>
      <c r="BM39">
        <v>117</v>
      </c>
      <c r="BN39">
        <v>0</v>
      </c>
      <c r="BO39" t="s">
        <v>98</v>
      </c>
      <c r="BP39">
        <v>1</v>
      </c>
      <c r="BQ39">
        <v>30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Z39">
        <v>0</v>
      </c>
      <c r="CA39">
        <v>0</v>
      </c>
      <c r="CF39">
        <v>0</v>
      </c>
      <c r="CG39">
        <v>0</v>
      </c>
      <c r="CM39">
        <v>0</v>
      </c>
      <c r="CO39">
        <v>0</v>
      </c>
      <c r="DN39">
        <v>100</v>
      </c>
      <c r="DO39">
        <v>64</v>
      </c>
      <c r="DP39">
        <v>1.025</v>
      </c>
      <c r="DQ39">
        <v>1</v>
      </c>
      <c r="DR39">
        <v>1</v>
      </c>
      <c r="DS39">
        <v>1</v>
      </c>
      <c r="DT39">
        <v>1</v>
      </c>
      <c r="DU39">
        <v>1009</v>
      </c>
      <c r="DV39" t="s">
        <v>62</v>
      </c>
      <c r="DW39" t="s">
        <v>62</v>
      </c>
      <c r="DX39">
        <v>1000</v>
      </c>
      <c r="EE39">
        <v>22090831</v>
      </c>
      <c r="EF39">
        <v>30</v>
      </c>
      <c r="EG39" t="s">
        <v>27</v>
      </c>
      <c r="EH39">
        <v>0</v>
      </c>
      <c r="EJ39">
        <v>1</v>
      </c>
      <c r="EK39">
        <v>117</v>
      </c>
      <c r="EL39" t="s">
        <v>91</v>
      </c>
      <c r="EM39" t="s">
        <v>92</v>
      </c>
      <c r="EQ39">
        <v>0</v>
      </c>
      <c r="ER39">
        <v>42508.19</v>
      </c>
      <c r="ES39">
        <v>42508.19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0</v>
      </c>
      <c r="FQ39">
        <v>0</v>
      </c>
      <c r="FR39">
        <f t="shared" si="2"/>
        <v>0</v>
      </c>
      <c r="FS39">
        <v>0</v>
      </c>
      <c r="FX39">
        <v>0</v>
      </c>
      <c r="FY39">
        <v>0</v>
      </c>
    </row>
    <row r="40" spans="1:181" ht="12.75">
      <c r="A40">
        <v>18</v>
      </c>
      <c r="B40">
        <v>1</v>
      </c>
      <c r="C40">
        <v>30</v>
      </c>
      <c r="E40" t="s">
        <v>101</v>
      </c>
      <c r="F40" t="s">
        <v>102</v>
      </c>
      <c r="G40" t="s">
        <v>103</v>
      </c>
      <c r="H40" t="s">
        <v>104</v>
      </c>
      <c r="I40">
        <v>0.16896</v>
      </c>
      <c r="J40">
        <v>12.8</v>
      </c>
      <c r="O40">
        <v>19.27</v>
      </c>
      <c r="P40">
        <v>19.27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AA40">
        <v>0</v>
      </c>
      <c r="AB40">
        <v>20.19</v>
      </c>
      <c r="AC40">
        <v>20.19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20.19</v>
      </c>
      <c r="AL40">
        <v>20.19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5.65</v>
      </c>
      <c r="BH40">
        <v>3</v>
      </c>
      <c r="BI40">
        <v>1</v>
      </c>
      <c r="BJ40" t="s">
        <v>105</v>
      </c>
      <c r="BM40">
        <v>117</v>
      </c>
      <c r="BN40">
        <v>0</v>
      </c>
      <c r="BO40" t="s">
        <v>102</v>
      </c>
      <c r="BP40">
        <v>1</v>
      </c>
      <c r="BQ40">
        <v>30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BZ40">
        <v>0</v>
      </c>
      <c r="CA40">
        <v>0</v>
      </c>
      <c r="CF40">
        <v>0</v>
      </c>
      <c r="CG40">
        <v>0</v>
      </c>
      <c r="CM40">
        <v>0</v>
      </c>
      <c r="CO40">
        <v>0</v>
      </c>
      <c r="DN40">
        <v>100</v>
      </c>
      <c r="DO40">
        <v>64</v>
      </c>
      <c r="DP40">
        <v>1.025</v>
      </c>
      <c r="DQ40">
        <v>1</v>
      </c>
      <c r="DR40">
        <v>1</v>
      </c>
      <c r="DS40">
        <v>1</v>
      </c>
      <c r="DT40">
        <v>1</v>
      </c>
      <c r="DU40">
        <v>1009</v>
      </c>
      <c r="DV40" t="s">
        <v>104</v>
      </c>
      <c r="DW40" t="s">
        <v>104</v>
      </c>
      <c r="DX40">
        <v>1</v>
      </c>
      <c r="EE40">
        <v>22090831</v>
      </c>
      <c r="EF40">
        <v>30</v>
      </c>
      <c r="EG40" t="s">
        <v>27</v>
      </c>
      <c r="EH40">
        <v>0</v>
      </c>
      <c r="EJ40">
        <v>1</v>
      </c>
      <c r="EK40">
        <v>117</v>
      </c>
      <c r="EL40" t="s">
        <v>91</v>
      </c>
      <c r="EM40" t="s">
        <v>92</v>
      </c>
      <c r="EQ40">
        <v>0</v>
      </c>
      <c r="ER40">
        <v>20.19</v>
      </c>
      <c r="ES40">
        <v>20.19</v>
      </c>
      <c r="ET40">
        <v>0</v>
      </c>
      <c r="EU40">
        <v>0</v>
      </c>
      <c r="EV40">
        <v>0</v>
      </c>
      <c r="EW40">
        <v>0</v>
      </c>
      <c r="EX40">
        <v>0</v>
      </c>
      <c r="EZ40">
        <v>0</v>
      </c>
      <c r="FQ40">
        <v>0</v>
      </c>
      <c r="FR40">
        <f t="shared" si="2"/>
        <v>0</v>
      </c>
      <c r="FS40">
        <v>0</v>
      </c>
      <c r="FX40">
        <v>0</v>
      </c>
      <c r="FY40">
        <v>0</v>
      </c>
    </row>
    <row r="41" spans="1:181" ht="12.75">
      <c r="A41">
        <v>17</v>
      </c>
      <c r="B41">
        <v>1</v>
      </c>
      <c r="C41">
        <f>ROW(SmtRes!A31)</f>
        <v>31</v>
      </c>
      <c r="D41">
        <f>ROW(EtalonRes!A31)</f>
        <v>31</v>
      </c>
      <c r="E41" t="s">
        <v>106</v>
      </c>
      <c r="F41" t="s">
        <v>107</v>
      </c>
      <c r="G41" t="s">
        <v>108</v>
      </c>
      <c r="H41" t="s">
        <v>62</v>
      </c>
      <c r="I41">
        <v>0.15058</v>
      </c>
      <c r="J41">
        <v>0</v>
      </c>
      <c r="O41">
        <v>20.38</v>
      </c>
      <c r="P41">
        <v>0</v>
      </c>
      <c r="Q41">
        <v>0</v>
      </c>
      <c r="R41">
        <v>0</v>
      </c>
      <c r="S41">
        <v>20.38</v>
      </c>
      <c r="T41">
        <v>0</v>
      </c>
      <c r="U41">
        <v>0.16081040519999998</v>
      </c>
      <c r="V41">
        <v>0</v>
      </c>
      <c r="W41">
        <v>0</v>
      </c>
      <c r="X41">
        <v>15.69</v>
      </c>
      <c r="Y41">
        <v>8.97</v>
      </c>
      <c r="AA41">
        <v>0</v>
      </c>
      <c r="AB41">
        <v>9.62</v>
      </c>
      <c r="AC41">
        <v>0</v>
      </c>
      <c r="AD41">
        <v>0</v>
      </c>
      <c r="AE41">
        <v>0</v>
      </c>
      <c r="AF41">
        <v>9.62</v>
      </c>
      <c r="AG41">
        <v>0</v>
      </c>
      <c r="AH41">
        <v>1.02</v>
      </c>
      <c r="AI41">
        <v>0</v>
      </c>
      <c r="AJ41">
        <v>0</v>
      </c>
      <c r="AK41">
        <v>9.62</v>
      </c>
      <c r="AL41">
        <v>0</v>
      </c>
      <c r="AM41">
        <v>0</v>
      </c>
      <c r="AN41">
        <v>0</v>
      </c>
      <c r="AO41">
        <v>9.62</v>
      </c>
      <c r="AP41">
        <v>0</v>
      </c>
      <c r="AQ41">
        <v>1.02</v>
      </c>
      <c r="AR41">
        <v>0</v>
      </c>
      <c r="AS41">
        <v>0</v>
      </c>
      <c r="AT41">
        <v>77</v>
      </c>
      <c r="AU41">
        <v>44</v>
      </c>
      <c r="AV41">
        <v>1.047</v>
      </c>
      <c r="AW41">
        <v>1.002</v>
      </c>
      <c r="AX41">
        <v>1</v>
      </c>
      <c r="AY41">
        <v>1</v>
      </c>
      <c r="AZ41">
        <v>13.44</v>
      </c>
      <c r="BA41">
        <v>13.44</v>
      </c>
      <c r="BB41">
        <v>1</v>
      </c>
      <c r="BC41">
        <v>1</v>
      </c>
      <c r="BH41">
        <v>0</v>
      </c>
      <c r="BI41">
        <v>1</v>
      </c>
      <c r="BJ41" t="s">
        <v>109</v>
      </c>
      <c r="BM41">
        <v>682</v>
      </c>
      <c r="BN41">
        <v>0</v>
      </c>
      <c r="BO41" t="s">
        <v>107</v>
      </c>
      <c r="BP41">
        <v>1</v>
      </c>
      <c r="BQ41">
        <v>60</v>
      </c>
      <c r="BR41">
        <v>0</v>
      </c>
      <c r="BS41">
        <v>13.44</v>
      </c>
      <c r="BT41">
        <v>1</v>
      </c>
      <c r="BU41">
        <v>1</v>
      </c>
      <c r="BV41">
        <v>1</v>
      </c>
      <c r="BW41">
        <v>1</v>
      </c>
      <c r="BX41">
        <v>1</v>
      </c>
      <c r="BZ41">
        <v>77</v>
      </c>
      <c r="CA41">
        <v>44</v>
      </c>
      <c r="CF41">
        <v>0</v>
      </c>
      <c r="CG41">
        <v>0</v>
      </c>
      <c r="CM41">
        <v>0</v>
      </c>
      <c r="CO41">
        <v>0</v>
      </c>
      <c r="DN41">
        <v>91</v>
      </c>
      <c r="DO41">
        <v>70</v>
      </c>
      <c r="DP41">
        <v>1.047</v>
      </c>
      <c r="DQ41">
        <v>1.002</v>
      </c>
      <c r="DR41">
        <v>1</v>
      </c>
      <c r="DS41">
        <v>1</v>
      </c>
      <c r="DT41">
        <v>1</v>
      </c>
      <c r="DU41">
        <v>1009</v>
      </c>
      <c r="DV41" t="s">
        <v>62</v>
      </c>
      <c r="DW41" t="s">
        <v>62</v>
      </c>
      <c r="DX41">
        <v>1000</v>
      </c>
      <c r="EE41">
        <v>22091396</v>
      </c>
      <c r="EF41">
        <v>60</v>
      </c>
      <c r="EG41" t="s">
        <v>20</v>
      </c>
      <c r="EH41">
        <v>0</v>
      </c>
      <c r="EJ41">
        <v>1</v>
      </c>
      <c r="EK41">
        <v>682</v>
      </c>
      <c r="EL41" t="s">
        <v>110</v>
      </c>
      <c r="EM41" t="s">
        <v>111</v>
      </c>
      <c r="EQ41">
        <v>64</v>
      </c>
      <c r="ER41">
        <v>9.62</v>
      </c>
      <c r="ES41">
        <v>0</v>
      </c>
      <c r="ET41">
        <v>0</v>
      </c>
      <c r="EU41">
        <v>0</v>
      </c>
      <c r="EV41">
        <v>9.62</v>
      </c>
      <c r="EW41">
        <v>1.02</v>
      </c>
      <c r="EX41">
        <v>0</v>
      </c>
      <c r="EY41">
        <v>0</v>
      </c>
      <c r="EZ41">
        <v>0</v>
      </c>
      <c r="FQ41">
        <v>0</v>
      </c>
      <c r="FR41">
        <f t="shared" si="2"/>
        <v>0</v>
      </c>
      <c r="FS41">
        <v>0</v>
      </c>
      <c r="FX41">
        <v>77</v>
      </c>
      <c r="FY41">
        <v>44</v>
      </c>
    </row>
    <row r="42" spans="1:181" ht="12.75">
      <c r="A42">
        <v>17</v>
      </c>
      <c r="B42">
        <v>1</v>
      </c>
      <c r="E42" t="s">
        <v>112</v>
      </c>
      <c r="F42" t="s">
        <v>113</v>
      </c>
      <c r="G42" t="s">
        <v>114</v>
      </c>
      <c r="H42" t="s">
        <v>62</v>
      </c>
      <c r="I42">
        <v>0.15058</v>
      </c>
      <c r="J42">
        <v>0</v>
      </c>
      <c r="O42">
        <v>82.8</v>
      </c>
      <c r="P42">
        <v>0</v>
      </c>
      <c r="Q42">
        <v>82.8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AA42">
        <v>0</v>
      </c>
      <c r="AB42">
        <v>117.74</v>
      </c>
      <c r="AC42">
        <v>0</v>
      </c>
      <c r="AD42">
        <v>117.74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117.74</v>
      </c>
      <c r="AL42">
        <v>0</v>
      </c>
      <c r="AM42">
        <v>117.74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4.67</v>
      </c>
      <c r="BC42">
        <v>1</v>
      </c>
      <c r="BH42">
        <v>0</v>
      </c>
      <c r="BI42">
        <v>4</v>
      </c>
      <c r="BJ42" t="s">
        <v>115</v>
      </c>
      <c r="BM42">
        <v>1113</v>
      </c>
      <c r="BN42">
        <v>0</v>
      </c>
      <c r="BO42" t="s">
        <v>113</v>
      </c>
      <c r="BP42">
        <v>1</v>
      </c>
      <c r="BQ42">
        <v>150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BZ42">
        <v>0</v>
      </c>
      <c r="CA42">
        <v>0</v>
      </c>
      <c r="CF42">
        <v>0</v>
      </c>
      <c r="CG42">
        <v>0</v>
      </c>
      <c r="CM42">
        <v>0</v>
      </c>
      <c r="CO42"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1009</v>
      </c>
      <c r="DV42" t="s">
        <v>62</v>
      </c>
      <c r="DW42" t="s">
        <v>62</v>
      </c>
      <c r="DX42">
        <v>1000</v>
      </c>
      <c r="EE42">
        <v>22091827</v>
      </c>
      <c r="EF42">
        <v>150</v>
      </c>
      <c r="EG42" t="s">
        <v>116</v>
      </c>
      <c r="EH42">
        <v>0</v>
      </c>
      <c r="EJ42">
        <v>4</v>
      </c>
      <c r="EK42">
        <v>1113</v>
      </c>
      <c r="EL42" t="s">
        <v>117</v>
      </c>
      <c r="EM42" t="s">
        <v>118</v>
      </c>
      <c r="EQ42">
        <v>0</v>
      </c>
      <c r="ER42">
        <v>117.74</v>
      </c>
      <c r="ES42">
        <v>0</v>
      </c>
      <c r="ET42">
        <v>117.74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Q42">
        <v>0</v>
      </c>
      <c r="FR42">
        <f t="shared" si="2"/>
        <v>0</v>
      </c>
      <c r="FS42">
        <v>0</v>
      </c>
      <c r="FX42">
        <v>0</v>
      </c>
      <c r="FY42">
        <v>0</v>
      </c>
    </row>
    <row r="44" spans="1:43" ht="12.75">
      <c r="A44" s="2">
        <v>51</v>
      </c>
      <c r="B44" s="2">
        <f>B20</f>
        <v>1</v>
      </c>
      <c r="C44" s="2">
        <f>A20</f>
        <v>3</v>
      </c>
      <c r="D44" s="2">
        <f>ROW(A20)</f>
        <v>20</v>
      </c>
      <c r="E44" s="2"/>
      <c r="F44" s="2" t="str">
        <f>IF(F20&lt;&gt;"",F20,"")</f>
        <v>Новая локальная смета</v>
      </c>
      <c r="G44" s="2" t="str">
        <f>IF(G20&lt;&gt;"",G20,"")</f>
        <v>Новая локальная смета</v>
      </c>
      <c r="H44" s="2"/>
      <c r="I44" s="2"/>
      <c r="J44" s="2"/>
      <c r="K44" s="2"/>
      <c r="L44" s="2"/>
      <c r="M44" s="2"/>
      <c r="N44" s="2"/>
      <c r="O44" s="2">
        <v>10519.11</v>
      </c>
      <c r="P44" s="2">
        <v>8795.28</v>
      </c>
      <c r="Q44" s="2">
        <v>148.13</v>
      </c>
      <c r="R44" s="2">
        <v>28.6</v>
      </c>
      <c r="S44" s="2">
        <v>1575.7</v>
      </c>
      <c r="T44" s="2">
        <v>0</v>
      </c>
      <c r="U44" s="2">
        <v>9.845663035200001</v>
      </c>
      <c r="V44" s="2">
        <v>0</v>
      </c>
      <c r="W44" s="2">
        <v>0</v>
      </c>
      <c r="X44" s="2">
        <v>1322.02</v>
      </c>
      <c r="Y44" s="2">
        <v>693.31</v>
      </c>
      <c r="Z44" s="2"/>
      <c r="AA44" s="2"/>
      <c r="AB44" s="2">
        <f>ROUND(SUMIF(AA24:AA42,"=0",O24:O42),2)</f>
        <v>10519.11</v>
      </c>
      <c r="AC44" s="2">
        <f>ROUND(SUMIF(AA24:AA42,"=0",P24:P42),2)</f>
        <v>8795.28</v>
      </c>
      <c r="AD44" s="2">
        <f>ROUND(SUMIF(AA24:AA42,"=0",Q24:Q42),2)</f>
        <v>148.13</v>
      </c>
      <c r="AE44" s="2">
        <f>ROUND(SUMIF(AA24:AA42,"=0",R24:R42),2)</f>
        <v>28.6</v>
      </c>
      <c r="AF44" s="2">
        <f>ROUND(SUMIF(AA24:AA42,"=0",S24:S42),2)</f>
        <v>1575.7</v>
      </c>
      <c r="AG44" s="2">
        <f>ROUND(SUMIF(AA24:AA42,"=0",T24:T42),2)</f>
        <v>0</v>
      </c>
      <c r="AH44" s="2">
        <f>ROUND(SUMIF(AA24:AA42,"=0",U24:U42),2)</f>
        <v>9.85</v>
      </c>
      <c r="AI44" s="2">
        <f>ROUND(SUMIF(AA24:AA42,"=0",V24:V42),2)</f>
        <v>0</v>
      </c>
      <c r="AJ44" s="2">
        <f>ROUND(SUMIF(AA24:AA42,"=0",W24:W42),2)</f>
        <v>0</v>
      </c>
      <c r="AK44" s="2">
        <f>ROUND(SUMIF(AA24:AA42,"=0",X24:X42),2)</f>
        <v>1322.02</v>
      </c>
      <c r="AL44" s="2">
        <f>ROUND(SUMIF(AA24:AA42,"=0",Y24:Y42),2)</f>
        <v>693.31</v>
      </c>
      <c r="AM44" s="2"/>
      <c r="AN44" s="2">
        <v>0</v>
      </c>
      <c r="AO44" s="2">
        <f>ROUND(SUMIF(AA24:AA42,"=0",FQ24:FQ42),2)</f>
        <v>0</v>
      </c>
      <c r="AP44" s="2">
        <v>0</v>
      </c>
      <c r="AQ44" s="2">
        <f>ROUND(SUM(FR24:FR42),2)</f>
        <v>0</v>
      </c>
    </row>
    <row r="46" spans="1:14" ht="12.75">
      <c r="A46" s="3">
        <v>50</v>
      </c>
      <c r="B46" s="3">
        <v>0</v>
      </c>
      <c r="C46" s="3">
        <v>0</v>
      </c>
      <c r="D46" s="3">
        <v>1</v>
      </c>
      <c r="E46" s="3">
        <v>201</v>
      </c>
      <c r="F46" s="3">
        <v>10519.11</v>
      </c>
      <c r="G46" s="3" t="s">
        <v>119</v>
      </c>
      <c r="H46" s="3" t="s">
        <v>120</v>
      </c>
      <c r="I46" s="3"/>
      <c r="J46" s="3"/>
      <c r="K46" s="3">
        <v>201</v>
      </c>
      <c r="L46" s="3">
        <v>1</v>
      </c>
      <c r="M46" s="3">
        <v>3</v>
      </c>
      <c r="N46" s="3" t="s">
        <v>3</v>
      </c>
    </row>
    <row r="47" spans="1:14" ht="12.75">
      <c r="A47" s="3">
        <v>50</v>
      </c>
      <c r="B47" s="3">
        <v>0</v>
      </c>
      <c r="C47" s="3">
        <v>0</v>
      </c>
      <c r="D47" s="3">
        <v>1</v>
      </c>
      <c r="E47" s="3">
        <v>202</v>
      </c>
      <c r="F47" s="3">
        <v>8795.28</v>
      </c>
      <c r="G47" s="3" t="s">
        <v>121</v>
      </c>
      <c r="H47" s="3" t="s">
        <v>122</v>
      </c>
      <c r="I47" s="3"/>
      <c r="J47" s="3"/>
      <c r="K47" s="3">
        <v>202</v>
      </c>
      <c r="L47" s="3">
        <v>2</v>
      </c>
      <c r="M47" s="3">
        <v>3</v>
      </c>
      <c r="N47" s="3" t="s">
        <v>3</v>
      </c>
    </row>
    <row r="48" spans="1:14" ht="12.75">
      <c r="A48" s="3">
        <v>50</v>
      </c>
      <c r="B48" s="3">
        <v>0</v>
      </c>
      <c r="C48" s="3">
        <v>0</v>
      </c>
      <c r="D48" s="3">
        <v>1</v>
      </c>
      <c r="E48" s="3">
        <v>222</v>
      </c>
      <c r="F48" s="3">
        <v>0</v>
      </c>
      <c r="G48" s="3" t="s">
        <v>123</v>
      </c>
      <c r="H48" s="3" t="s">
        <v>124</v>
      </c>
      <c r="I48" s="3"/>
      <c r="J48" s="3"/>
      <c r="K48" s="3">
        <v>222</v>
      </c>
      <c r="L48" s="3">
        <v>3</v>
      </c>
      <c r="M48" s="3">
        <v>3</v>
      </c>
      <c r="N48" s="3" t="s">
        <v>3</v>
      </c>
    </row>
    <row r="49" spans="1:14" ht="12.75">
      <c r="A49" s="3">
        <v>50</v>
      </c>
      <c r="B49" s="3">
        <v>0</v>
      </c>
      <c r="C49" s="3">
        <v>0</v>
      </c>
      <c r="D49" s="3">
        <v>1</v>
      </c>
      <c r="E49" s="3">
        <v>216</v>
      </c>
      <c r="F49" s="3">
        <v>0</v>
      </c>
      <c r="G49" s="3" t="s">
        <v>125</v>
      </c>
      <c r="H49" s="3" t="s">
        <v>126</v>
      </c>
      <c r="I49" s="3"/>
      <c r="J49" s="3"/>
      <c r="K49" s="3">
        <v>216</v>
      </c>
      <c r="L49" s="3">
        <v>4</v>
      </c>
      <c r="M49" s="3">
        <v>3</v>
      </c>
      <c r="N49" s="3" t="s">
        <v>3</v>
      </c>
    </row>
    <row r="50" spans="1:14" ht="12.75">
      <c r="A50" s="3">
        <v>50</v>
      </c>
      <c r="B50" s="3">
        <v>0</v>
      </c>
      <c r="C50" s="3">
        <v>0</v>
      </c>
      <c r="D50" s="3">
        <v>1</v>
      </c>
      <c r="E50" s="3">
        <v>203</v>
      </c>
      <c r="F50" s="3">
        <v>148.13</v>
      </c>
      <c r="G50" s="3" t="s">
        <v>127</v>
      </c>
      <c r="H50" s="3" t="s">
        <v>128</v>
      </c>
      <c r="I50" s="3"/>
      <c r="J50" s="3"/>
      <c r="K50" s="3">
        <v>203</v>
      </c>
      <c r="L50" s="3">
        <v>5</v>
      </c>
      <c r="M50" s="3">
        <v>3</v>
      </c>
      <c r="N50" s="3" t="s">
        <v>3</v>
      </c>
    </row>
    <row r="51" spans="1:14" ht="12.75">
      <c r="A51" s="3">
        <v>50</v>
      </c>
      <c r="B51" s="3">
        <v>0</v>
      </c>
      <c r="C51" s="3">
        <v>0</v>
      </c>
      <c r="D51" s="3">
        <v>1</v>
      </c>
      <c r="E51" s="3">
        <v>204</v>
      </c>
      <c r="F51" s="3">
        <v>28.6</v>
      </c>
      <c r="G51" s="3" t="s">
        <v>129</v>
      </c>
      <c r="H51" s="3" t="s">
        <v>130</v>
      </c>
      <c r="I51" s="3"/>
      <c r="J51" s="3"/>
      <c r="K51" s="3">
        <v>204</v>
      </c>
      <c r="L51" s="3">
        <v>6</v>
      </c>
      <c r="M51" s="3">
        <v>3</v>
      </c>
      <c r="N51" s="3" t="s">
        <v>3</v>
      </c>
    </row>
    <row r="52" spans="1:14" ht="12.75">
      <c r="A52" s="3">
        <v>50</v>
      </c>
      <c r="B52" s="3">
        <v>0</v>
      </c>
      <c r="C52" s="3">
        <v>0</v>
      </c>
      <c r="D52" s="3">
        <v>1</v>
      </c>
      <c r="E52" s="3">
        <v>205</v>
      </c>
      <c r="F52" s="3">
        <v>1575.7</v>
      </c>
      <c r="G52" s="3" t="s">
        <v>131</v>
      </c>
      <c r="H52" s="3" t="s">
        <v>132</v>
      </c>
      <c r="I52" s="3"/>
      <c r="J52" s="3"/>
      <c r="K52" s="3">
        <v>205</v>
      </c>
      <c r="L52" s="3">
        <v>7</v>
      </c>
      <c r="M52" s="3">
        <v>3</v>
      </c>
      <c r="N52" s="3" t="s">
        <v>3</v>
      </c>
    </row>
    <row r="53" spans="1:14" ht="12.75">
      <c r="A53" s="3">
        <v>50</v>
      </c>
      <c r="B53" s="3">
        <v>0</v>
      </c>
      <c r="C53" s="3">
        <v>0</v>
      </c>
      <c r="D53" s="3">
        <v>1</v>
      </c>
      <c r="E53" s="3">
        <v>206</v>
      </c>
      <c r="F53" s="3">
        <v>0</v>
      </c>
      <c r="G53" s="3" t="s">
        <v>133</v>
      </c>
      <c r="H53" s="3" t="s">
        <v>134</v>
      </c>
      <c r="I53" s="3"/>
      <c r="J53" s="3"/>
      <c r="K53" s="3">
        <v>206</v>
      </c>
      <c r="L53" s="3">
        <v>8</v>
      </c>
      <c r="M53" s="3">
        <v>3</v>
      </c>
      <c r="N53" s="3" t="s">
        <v>3</v>
      </c>
    </row>
    <row r="54" spans="1:14" ht="12.75">
      <c r="A54" s="3">
        <v>50</v>
      </c>
      <c r="B54" s="3">
        <v>0</v>
      </c>
      <c r="C54" s="3">
        <v>0</v>
      </c>
      <c r="D54" s="3">
        <v>1</v>
      </c>
      <c r="E54" s="3">
        <v>207</v>
      </c>
      <c r="F54" s="3">
        <v>9.845663035200001</v>
      </c>
      <c r="G54" s="3" t="s">
        <v>135</v>
      </c>
      <c r="H54" s="3" t="s">
        <v>136</v>
      </c>
      <c r="I54" s="3"/>
      <c r="J54" s="3"/>
      <c r="K54" s="3">
        <v>207</v>
      </c>
      <c r="L54" s="3">
        <v>9</v>
      </c>
      <c r="M54" s="3">
        <v>3</v>
      </c>
      <c r="N54" s="3" t="s">
        <v>3</v>
      </c>
    </row>
    <row r="55" spans="1:14" ht="12.75">
      <c r="A55" s="3">
        <v>50</v>
      </c>
      <c r="B55" s="3">
        <v>0</v>
      </c>
      <c r="C55" s="3">
        <v>0</v>
      </c>
      <c r="D55" s="3">
        <v>1</v>
      </c>
      <c r="E55" s="3">
        <v>208</v>
      </c>
      <c r="F55" s="3">
        <v>0</v>
      </c>
      <c r="G55" s="3" t="s">
        <v>137</v>
      </c>
      <c r="H55" s="3" t="s">
        <v>138</v>
      </c>
      <c r="I55" s="3"/>
      <c r="J55" s="3"/>
      <c r="K55" s="3">
        <v>208</v>
      </c>
      <c r="L55" s="3">
        <v>10</v>
      </c>
      <c r="M55" s="3">
        <v>3</v>
      </c>
      <c r="N55" s="3" t="s">
        <v>3</v>
      </c>
    </row>
    <row r="56" spans="1:14" ht="12.75">
      <c r="A56" s="3">
        <v>50</v>
      </c>
      <c r="B56" s="3">
        <v>0</v>
      </c>
      <c r="C56" s="3">
        <v>0</v>
      </c>
      <c r="D56" s="3">
        <v>1</v>
      </c>
      <c r="E56" s="3">
        <v>209</v>
      </c>
      <c r="F56" s="3">
        <v>0</v>
      </c>
      <c r="G56" s="3" t="s">
        <v>139</v>
      </c>
      <c r="H56" s="3" t="s">
        <v>140</v>
      </c>
      <c r="I56" s="3"/>
      <c r="J56" s="3"/>
      <c r="K56" s="3">
        <v>209</v>
      </c>
      <c r="L56" s="3">
        <v>11</v>
      </c>
      <c r="M56" s="3">
        <v>3</v>
      </c>
      <c r="N56" s="3" t="s">
        <v>3</v>
      </c>
    </row>
    <row r="57" spans="1:14" ht="12.75">
      <c r="A57" s="3">
        <v>50</v>
      </c>
      <c r="B57" s="3">
        <v>0</v>
      </c>
      <c r="C57" s="3">
        <v>0</v>
      </c>
      <c r="D57" s="3">
        <v>1</v>
      </c>
      <c r="E57" s="3">
        <v>210</v>
      </c>
      <c r="F57" s="3">
        <v>1322.02</v>
      </c>
      <c r="G57" s="3" t="s">
        <v>141</v>
      </c>
      <c r="H57" s="3" t="s">
        <v>142</v>
      </c>
      <c r="I57" s="3"/>
      <c r="J57" s="3"/>
      <c r="K57" s="3">
        <v>210</v>
      </c>
      <c r="L57" s="3">
        <v>12</v>
      </c>
      <c r="M57" s="3">
        <v>3</v>
      </c>
      <c r="N57" s="3" t="s">
        <v>3</v>
      </c>
    </row>
    <row r="58" spans="1:14" ht="12.75">
      <c r="A58" s="3">
        <v>50</v>
      </c>
      <c r="B58" s="3">
        <v>0</v>
      </c>
      <c r="C58" s="3">
        <v>0</v>
      </c>
      <c r="D58" s="3">
        <v>1</v>
      </c>
      <c r="E58" s="3">
        <v>211</v>
      </c>
      <c r="F58" s="3">
        <v>693.31</v>
      </c>
      <c r="G58" s="3" t="s">
        <v>143</v>
      </c>
      <c r="H58" s="3" t="s">
        <v>144</v>
      </c>
      <c r="I58" s="3"/>
      <c r="J58" s="3"/>
      <c r="K58" s="3">
        <v>211</v>
      </c>
      <c r="L58" s="3">
        <v>13</v>
      </c>
      <c r="M58" s="3">
        <v>3</v>
      </c>
      <c r="N58" s="3" t="s">
        <v>3</v>
      </c>
    </row>
    <row r="59" spans="1:14" ht="12.75">
      <c r="A59" s="3">
        <v>50</v>
      </c>
      <c r="B59" s="3">
        <v>1</v>
      </c>
      <c r="C59" s="3">
        <v>0</v>
      </c>
      <c r="D59" s="3">
        <v>2</v>
      </c>
      <c r="E59" s="3">
        <v>0</v>
      </c>
      <c r="F59" s="3">
        <v>12582.2</v>
      </c>
      <c r="G59" s="3" t="s">
        <v>145</v>
      </c>
      <c r="H59" s="3" t="s">
        <v>146</v>
      </c>
      <c r="I59" s="3"/>
      <c r="J59" s="3"/>
      <c r="K59" s="3">
        <v>212</v>
      </c>
      <c r="L59" s="3">
        <v>14</v>
      </c>
      <c r="M59" s="3">
        <v>0</v>
      </c>
      <c r="N59" s="3" t="s">
        <v>3</v>
      </c>
    </row>
    <row r="60" spans="1:14" ht="12.75">
      <c r="A60" s="3">
        <v>50</v>
      </c>
      <c r="B60" s="3">
        <v>1</v>
      </c>
      <c r="C60" s="3">
        <v>0</v>
      </c>
      <c r="D60" s="3">
        <v>2</v>
      </c>
      <c r="E60" s="3">
        <v>0</v>
      </c>
      <c r="F60" s="3">
        <v>2264.8</v>
      </c>
      <c r="G60" s="3" t="s">
        <v>147</v>
      </c>
      <c r="H60" s="3" t="s">
        <v>148</v>
      </c>
      <c r="I60" s="3"/>
      <c r="J60" s="3"/>
      <c r="K60" s="3">
        <v>212</v>
      </c>
      <c r="L60" s="3">
        <v>15</v>
      </c>
      <c r="M60" s="3">
        <v>0</v>
      </c>
      <c r="N60" s="3" t="s">
        <v>3</v>
      </c>
    </row>
    <row r="61" spans="1:14" ht="12.75">
      <c r="A61" s="3">
        <v>50</v>
      </c>
      <c r="B61" s="3">
        <v>1</v>
      </c>
      <c r="C61" s="3">
        <v>0</v>
      </c>
      <c r="D61" s="3">
        <v>2</v>
      </c>
      <c r="E61" s="3">
        <v>213</v>
      </c>
      <c r="F61" s="3">
        <v>14847</v>
      </c>
      <c r="G61" s="3" t="s">
        <v>149</v>
      </c>
      <c r="H61" s="3" t="s">
        <v>150</v>
      </c>
      <c r="I61" s="3"/>
      <c r="J61" s="3"/>
      <c r="K61" s="3">
        <v>212</v>
      </c>
      <c r="L61" s="3">
        <v>16</v>
      </c>
      <c r="M61" s="3">
        <v>0</v>
      </c>
      <c r="N61" s="3" t="s">
        <v>3</v>
      </c>
    </row>
    <row r="62" spans="1:14" ht="12.75">
      <c r="A62" s="3">
        <v>50</v>
      </c>
      <c r="B62" s="3">
        <v>1</v>
      </c>
      <c r="C62" s="3">
        <v>0</v>
      </c>
      <c r="D62" s="3">
        <v>2</v>
      </c>
      <c r="E62" s="3">
        <v>0</v>
      </c>
      <c r="F62" s="3">
        <v>13362.3</v>
      </c>
      <c r="G62" s="3" t="s">
        <v>151</v>
      </c>
      <c r="H62" s="3" t="s">
        <v>152</v>
      </c>
      <c r="I62" s="3"/>
      <c r="J62" s="3"/>
      <c r="K62" s="3">
        <v>212</v>
      </c>
      <c r="L62" s="3">
        <v>17</v>
      </c>
      <c r="M62" s="3">
        <v>0</v>
      </c>
      <c r="N62" s="3" t="s">
        <v>3</v>
      </c>
    </row>
    <row r="64" spans="1:43" ht="12.75">
      <c r="A64" s="2">
        <v>51</v>
      </c>
      <c r="B64" s="2">
        <f>B12</f>
        <v>1</v>
      </c>
      <c r="C64" s="2">
        <f>A12</f>
        <v>1</v>
      </c>
      <c r="D64" s="2">
        <f>ROW(A12)</f>
        <v>12</v>
      </c>
      <c r="E64" s="2"/>
      <c r="F64" s="2" t="str">
        <f>IF(F12&lt;&gt;"",F12,"")</f>
        <v>Новый объект</v>
      </c>
      <c r="G64" s="2" t="str">
        <f>IF(G12&lt;&gt;"",G12,"")</f>
        <v>Монтаж противодымной двери</v>
      </c>
      <c r="H64" s="2"/>
      <c r="I64" s="2"/>
      <c r="J64" s="2"/>
      <c r="K64" s="2"/>
      <c r="L64" s="2"/>
      <c r="M64" s="2"/>
      <c r="N64" s="2"/>
      <c r="O64" s="2">
        <v>10519.11</v>
      </c>
      <c r="P64" s="2">
        <v>8795.28</v>
      </c>
      <c r="Q64" s="2">
        <v>148.13</v>
      </c>
      <c r="R64" s="2">
        <v>28.6</v>
      </c>
      <c r="S64" s="2">
        <v>1575.7</v>
      </c>
      <c r="T64" s="2">
        <v>0</v>
      </c>
      <c r="U64" s="2">
        <v>9.845663035200001</v>
      </c>
      <c r="V64" s="2">
        <v>0</v>
      </c>
      <c r="W64" s="2">
        <v>0</v>
      </c>
      <c r="X64" s="2">
        <v>1322.02</v>
      </c>
      <c r="Y64" s="2">
        <v>693.31</v>
      </c>
      <c r="Z64" s="2"/>
      <c r="AA64" s="2"/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/>
      <c r="AN64" s="2">
        <v>0</v>
      </c>
      <c r="AO64" s="2">
        <v>0</v>
      </c>
      <c r="AP64" s="2">
        <v>0</v>
      </c>
      <c r="AQ64" s="2">
        <v>0</v>
      </c>
    </row>
    <row r="66" spans="1:14" ht="12.75">
      <c r="A66" s="3">
        <v>50</v>
      </c>
      <c r="B66" s="3">
        <v>0</v>
      </c>
      <c r="C66" s="3">
        <v>0</v>
      </c>
      <c r="D66" s="3">
        <v>1</v>
      </c>
      <c r="E66" s="3">
        <v>201</v>
      </c>
      <c r="F66" s="3">
        <v>10519.11</v>
      </c>
      <c r="G66" s="3" t="s">
        <v>119</v>
      </c>
      <c r="H66" s="3" t="s">
        <v>120</v>
      </c>
      <c r="I66" s="3"/>
      <c r="J66" s="3"/>
      <c r="K66" s="3">
        <v>201</v>
      </c>
      <c r="L66" s="3">
        <v>1</v>
      </c>
      <c r="M66" s="3">
        <v>3</v>
      </c>
      <c r="N66" s="3" t="s">
        <v>3</v>
      </c>
    </row>
    <row r="67" spans="1:14" ht="12.75">
      <c r="A67" s="3">
        <v>50</v>
      </c>
      <c r="B67" s="3">
        <v>0</v>
      </c>
      <c r="C67" s="3">
        <v>0</v>
      </c>
      <c r="D67" s="3">
        <v>1</v>
      </c>
      <c r="E67" s="3">
        <v>202</v>
      </c>
      <c r="F67" s="3">
        <v>8795.28</v>
      </c>
      <c r="G67" s="3" t="s">
        <v>121</v>
      </c>
      <c r="H67" s="3" t="s">
        <v>122</v>
      </c>
      <c r="I67" s="3"/>
      <c r="J67" s="3"/>
      <c r="K67" s="3">
        <v>202</v>
      </c>
      <c r="L67" s="3">
        <v>2</v>
      </c>
      <c r="M67" s="3">
        <v>3</v>
      </c>
      <c r="N67" s="3" t="s">
        <v>3</v>
      </c>
    </row>
    <row r="68" spans="1:14" ht="12.75">
      <c r="A68" s="3">
        <v>50</v>
      </c>
      <c r="B68" s="3">
        <v>0</v>
      </c>
      <c r="C68" s="3">
        <v>0</v>
      </c>
      <c r="D68" s="3">
        <v>1</v>
      </c>
      <c r="E68" s="3">
        <v>222</v>
      </c>
      <c r="F68" s="3">
        <v>0</v>
      </c>
      <c r="G68" s="3" t="s">
        <v>123</v>
      </c>
      <c r="H68" s="3" t="s">
        <v>124</v>
      </c>
      <c r="I68" s="3"/>
      <c r="J68" s="3"/>
      <c r="K68" s="3">
        <v>222</v>
      </c>
      <c r="L68" s="3">
        <v>3</v>
      </c>
      <c r="M68" s="3">
        <v>3</v>
      </c>
      <c r="N68" s="3" t="s">
        <v>3</v>
      </c>
    </row>
    <row r="69" spans="1:14" ht="12.75">
      <c r="A69" s="3">
        <v>50</v>
      </c>
      <c r="B69" s="3">
        <v>0</v>
      </c>
      <c r="C69" s="3">
        <v>0</v>
      </c>
      <c r="D69" s="3">
        <v>1</v>
      </c>
      <c r="E69" s="3">
        <v>216</v>
      </c>
      <c r="F69" s="3">
        <v>0</v>
      </c>
      <c r="G69" s="3" t="s">
        <v>125</v>
      </c>
      <c r="H69" s="3" t="s">
        <v>126</v>
      </c>
      <c r="I69" s="3"/>
      <c r="J69" s="3"/>
      <c r="K69" s="3">
        <v>216</v>
      </c>
      <c r="L69" s="3">
        <v>4</v>
      </c>
      <c r="M69" s="3">
        <v>3</v>
      </c>
      <c r="N69" s="3" t="s">
        <v>3</v>
      </c>
    </row>
    <row r="70" spans="1:14" ht="12.75">
      <c r="A70" s="3">
        <v>50</v>
      </c>
      <c r="B70" s="3">
        <v>0</v>
      </c>
      <c r="C70" s="3">
        <v>0</v>
      </c>
      <c r="D70" s="3">
        <v>1</v>
      </c>
      <c r="E70" s="3">
        <v>203</v>
      </c>
      <c r="F70" s="3">
        <v>148.13</v>
      </c>
      <c r="G70" s="3" t="s">
        <v>127</v>
      </c>
      <c r="H70" s="3" t="s">
        <v>128</v>
      </c>
      <c r="I70" s="3"/>
      <c r="J70" s="3"/>
      <c r="K70" s="3">
        <v>203</v>
      </c>
      <c r="L70" s="3">
        <v>5</v>
      </c>
      <c r="M70" s="3">
        <v>3</v>
      </c>
      <c r="N70" s="3" t="s">
        <v>3</v>
      </c>
    </row>
    <row r="71" spans="1:14" ht="12.75">
      <c r="A71" s="3">
        <v>50</v>
      </c>
      <c r="B71" s="3">
        <v>0</v>
      </c>
      <c r="C71" s="3">
        <v>0</v>
      </c>
      <c r="D71" s="3">
        <v>1</v>
      </c>
      <c r="E71" s="3">
        <v>204</v>
      </c>
      <c r="F71" s="3">
        <v>28.6</v>
      </c>
      <c r="G71" s="3" t="s">
        <v>129</v>
      </c>
      <c r="H71" s="3" t="s">
        <v>130</v>
      </c>
      <c r="I71" s="3"/>
      <c r="J71" s="3"/>
      <c r="K71" s="3">
        <v>204</v>
      </c>
      <c r="L71" s="3">
        <v>6</v>
      </c>
      <c r="M71" s="3">
        <v>3</v>
      </c>
      <c r="N71" s="3" t="s">
        <v>3</v>
      </c>
    </row>
    <row r="72" spans="1:14" ht="12.75">
      <c r="A72" s="3">
        <v>50</v>
      </c>
      <c r="B72" s="3">
        <v>0</v>
      </c>
      <c r="C72" s="3">
        <v>0</v>
      </c>
      <c r="D72" s="3">
        <v>1</v>
      </c>
      <c r="E72" s="3">
        <v>205</v>
      </c>
      <c r="F72" s="3">
        <v>1575.7</v>
      </c>
      <c r="G72" s="3" t="s">
        <v>131</v>
      </c>
      <c r="H72" s="3" t="s">
        <v>132</v>
      </c>
      <c r="I72" s="3"/>
      <c r="J72" s="3"/>
      <c r="K72" s="3">
        <v>205</v>
      </c>
      <c r="L72" s="3">
        <v>7</v>
      </c>
      <c r="M72" s="3">
        <v>3</v>
      </c>
      <c r="N72" s="3" t="s">
        <v>3</v>
      </c>
    </row>
    <row r="73" spans="1:14" ht="12.75">
      <c r="A73" s="3">
        <v>50</v>
      </c>
      <c r="B73" s="3">
        <v>0</v>
      </c>
      <c r="C73" s="3">
        <v>0</v>
      </c>
      <c r="D73" s="3">
        <v>1</v>
      </c>
      <c r="E73" s="3">
        <v>206</v>
      </c>
      <c r="F73" s="3">
        <v>0</v>
      </c>
      <c r="G73" s="3" t="s">
        <v>133</v>
      </c>
      <c r="H73" s="3" t="s">
        <v>134</v>
      </c>
      <c r="I73" s="3"/>
      <c r="J73" s="3"/>
      <c r="K73" s="3">
        <v>206</v>
      </c>
      <c r="L73" s="3">
        <v>8</v>
      </c>
      <c r="M73" s="3">
        <v>3</v>
      </c>
      <c r="N73" s="3" t="s">
        <v>3</v>
      </c>
    </row>
    <row r="74" spans="1:14" ht="12.75">
      <c r="A74" s="3">
        <v>50</v>
      </c>
      <c r="B74" s="3">
        <v>0</v>
      </c>
      <c r="C74" s="3">
        <v>0</v>
      </c>
      <c r="D74" s="3">
        <v>1</v>
      </c>
      <c r="E74" s="3">
        <v>207</v>
      </c>
      <c r="F74" s="3">
        <v>9.845663035200001</v>
      </c>
      <c r="G74" s="3" t="s">
        <v>135</v>
      </c>
      <c r="H74" s="3" t="s">
        <v>136</v>
      </c>
      <c r="I74" s="3"/>
      <c r="J74" s="3"/>
      <c r="K74" s="3">
        <v>207</v>
      </c>
      <c r="L74" s="3">
        <v>9</v>
      </c>
      <c r="M74" s="3">
        <v>3</v>
      </c>
      <c r="N74" s="3" t="s">
        <v>3</v>
      </c>
    </row>
    <row r="75" spans="1:14" ht="12.75">
      <c r="A75" s="3">
        <v>50</v>
      </c>
      <c r="B75" s="3">
        <v>0</v>
      </c>
      <c r="C75" s="3">
        <v>0</v>
      </c>
      <c r="D75" s="3">
        <v>1</v>
      </c>
      <c r="E75" s="3">
        <v>208</v>
      </c>
      <c r="F75" s="3">
        <v>0</v>
      </c>
      <c r="G75" s="3" t="s">
        <v>137</v>
      </c>
      <c r="H75" s="3" t="s">
        <v>138</v>
      </c>
      <c r="I75" s="3"/>
      <c r="J75" s="3"/>
      <c r="K75" s="3">
        <v>208</v>
      </c>
      <c r="L75" s="3">
        <v>10</v>
      </c>
      <c r="M75" s="3">
        <v>3</v>
      </c>
      <c r="N75" s="3" t="s">
        <v>3</v>
      </c>
    </row>
    <row r="76" spans="1:14" ht="12.75">
      <c r="A76" s="3">
        <v>50</v>
      </c>
      <c r="B76" s="3">
        <v>0</v>
      </c>
      <c r="C76" s="3">
        <v>0</v>
      </c>
      <c r="D76" s="3">
        <v>1</v>
      </c>
      <c r="E76" s="3">
        <v>209</v>
      </c>
      <c r="F76" s="3">
        <v>0</v>
      </c>
      <c r="G76" s="3" t="s">
        <v>139</v>
      </c>
      <c r="H76" s="3" t="s">
        <v>140</v>
      </c>
      <c r="I76" s="3"/>
      <c r="J76" s="3"/>
      <c r="K76" s="3">
        <v>209</v>
      </c>
      <c r="L76" s="3">
        <v>11</v>
      </c>
      <c r="M76" s="3">
        <v>3</v>
      </c>
      <c r="N76" s="3" t="s">
        <v>3</v>
      </c>
    </row>
    <row r="77" spans="1:14" ht="12.75">
      <c r="A77" s="3">
        <v>50</v>
      </c>
      <c r="B77" s="3">
        <v>0</v>
      </c>
      <c r="C77" s="3">
        <v>0</v>
      </c>
      <c r="D77" s="3">
        <v>1</v>
      </c>
      <c r="E77" s="3">
        <v>210</v>
      </c>
      <c r="F77" s="3">
        <v>1322.02</v>
      </c>
      <c r="G77" s="3" t="s">
        <v>141</v>
      </c>
      <c r="H77" s="3" t="s">
        <v>142</v>
      </c>
      <c r="I77" s="3"/>
      <c r="J77" s="3"/>
      <c r="K77" s="3">
        <v>210</v>
      </c>
      <c r="L77" s="3">
        <v>12</v>
      </c>
      <c r="M77" s="3">
        <v>3</v>
      </c>
      <c r="N77" s="3" t="s">
        <v>3</v>
      </c>
    </row>
    <row r="78" spans="1:14" ht="12.75">
      <c r="A78" s="3">
        <v>50</v>
      </c>
      <c r="B78" s="3">
        <v>0</v>
      </c>
      <c r="C78" s="3">
        <v>0</v>
      </c>
      <c r="D78" s="3">
        <v>1</v>
      </c>
      <c r="E78" s="3">
        <v>211</v>
      </c>
      <c r="F78" s="3">
        <v>693.31</v>
      </c>
      <c r="G78" s="3" t="s">
        <v>143</v>
      </c>
      <c r="H78" s="3" t="s">
        <v>144</v>
      </c>
      <c r="I78" s="3"/>
      <c r="J78" s="3"/>
      <c r="K78" s="3">
        <v>211</v>
      </c>
      <c r="L78" s="3">
        <v>13</v>
      </c>
      <c r="M78" s="3">
        <v>3</v>
      </c>
      <c r="N78" s="3" t="s">
        <v>3</v>
      </c>
    </row>
    <row r="79" spans="1:14" ht="12.75">
      <c r="A79" s="3">
        <v>50</v>
      </c>
      <c r="B79" s="3">
        <v>1</v>
      </c>
      <c r="C79" s="3">
        <v>0</v>
      </c>
      <c r="D79" s="3">
        <v>2</v>
      </c>
      <c r="E79" s="3">
        <v>0</v>
      </c>
      <c r="F79" s="3">
        <v>12582.77</v>
      </c>
      <c r="G79" s="3" t="s">
        <v>145</v>
      </c>
      <c r="H79" s="3" t="s">
        <v>146</v>
      </c>
      <c r="I79" s="3"/>
      <c r="J79" s="3"/>
      <c r="K79" s="3">
        <v>212</v>
      </c>
      <c r="L79" s="3">
        <v>14</v>
      </c>
      <c r="M79" s="3">
        <v>0</v>
      </c>
      <c r="N79" s="3" t="s">
        <v>3</v>
      </c>
    </row>
    <row r="80" spans="1:14" ht="12.75">
      <c r="A80" s="3">
        <v>50</v>
      </c>
      <c r="B80" s="3">
        <v>1</v>
      </c>
      <c r="C80" s="3">
        <v>0</v>
      </c>
      <c r="D80" s="3">
        <v>2</v>
      </c>
      <c r="E80" s="3">
        <v>0</v>
      </c>
      <c r="F80" s="3">
        <v>2264.9</v>
      </c>
      <c r="G80" s="3" t="s">
        <v>147</v>
      </c>
      <c r="H80" s="3" t="s">
        <v>148</v>
      </c>
      <c r="I80" s="3"/>
      <c r="J80" s="3"/>
      <c r="K80" s="3">
        <v>212</v>
      </c>
      <c r="L80" s="3">
        <v>15</v>
      </c>
      <c r="M80" s="3">
        <v>0</v>
      </c>
      <c r="N80" s="3" t="s">
        <v>3</v>
      </c>
    </row>
    <row r="81" spans="1:14" ht="12.75">
      <c r="A81" s="3">
        <v>50</v>
      </c>
      <c r="B81" s="3">
        <v>1</v>
      </c>
      <c r="C81" s="3">
        <v>0</v>
      </c>
      <c r="D81" s="3">
        <v>2</v>
      </c>
      <c r="E81" s="3">
        <v>213</v>
      </c>
      <c r="F81" s="3">
        <v>14847.67</v>
      </c>
      <c r="G81" s="3" t="s">
        <v>149</v>
      </c>
      <c r="H81" s="3" t="s">
        <v>150</v>
      </c>
      <c r="I81" s="3"/>
      <c r="J81" s="3"/>
      <c r="K81" s="3">
        <v>212</v>
      </c>
      <c r="L81" s="3">
        <v>16</v>
      </c>
      <c r="M81" s="3">
        <v>0</v>
      </c>
      <c r="N81" s="3" t="s">
        <v>3</v>
      </c>
    </row>
    <row r="85" spans="1:5" ht="12.75">
      <c r="A85">
        <v>65</v>
      </c>
      <c r="C85">
        <v>1</v>
      </c>
      <c r="D85">
        <v>0</v>
      </c>
      <c r="E85">
        <v>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0" ht="12.75">
      <c r="A1">
        <f>ROW(Source!A24)</f>
        <v>24</v>
      </c>
      <c r="B1">
        <v>22392118</v>
      </c>
      <c r="C1">
        <v>22392117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153</v>
      </c>
      <c r="L1">
        <v>1191</v>
      </c>
      <c r="Y1">
        <v>91.15</v>
      </c>
      <c r="AA1">
        <v>0</v>
      </c>
      <c r="AB1">
        <v>0</v>
      </c>
      <c r="AC1">
        <v>0</v>
      </c>
      <c r="AD1">
        <v>0</v>
      </c>
      <c r="AN1">
        <v>0</v>
      </c>
      <c r="AO1">
        <v>1</v>
      </c>
      <c r="AP1">
        <v>0</v>
      </c>
      <c r="AQ1">
        <v>0</v>
      </c>
      <c r="AR1">
        <v>0</v>
      </c>
      <c r="AT1">
        <v>91.15</v>
      </c>
      <c r="AV1">
        <v>1</v>
      </c>
      <c r="AW1">
        <v>2</v>
      </c>
      <c r="AX1">
        <v>22392118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B1">
        <v>0</v>
      </c>
    </row>
    <row r="2" spans="1:80" ht="12.75">
      <c r="A2">
        <f>ROW(Source!A25)</f>
        <v>25</v>
      </c>
      <c r="B2">
        <v>20316565</v>
      </c>
      <c r="C2">
        <v>20316564</v>
      </c>
      <c r="D2">
        <v>7157835</v>
      </c>
      <c r="E2">
        <v>7157832</v>
      </c>
      <c r="F2">
        <v>1</v>
      </c>
      <c r="G2">
        <v>7157832</v>
      </c>
      <c r="H2">
        <v>1</v>
      </c>
      <c r="I2" t="s">
        <v>153</v>
      </c>
      <c r="L2">
        <v>1191</v>
      </c>
      <c r="Y2">
        <v>124.54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124.54</v>
      </c>
      <c r="AV2">
        <v>1</v>
      </c>
      <c r="AW2">
        <v>2</v>
      </c>
      <c r="AX2">
        <v>20316565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B2">
        <v>0</v>
      </c>
    </row>
    <row r="3" spans="1:80" ht="12.75">
      <c r="A3">
        <f>ROW(Source!A25)</f>
        <v>25</v>
      </c>
      <c r="B3">
        <v>20316567</v>
      </c>
      <c r="C3">
        <v>20316564</v>
      </c>
      <c r="D3">
        <v>7159942</v>
      </c>
      <c r="E3">
        <v>7157832</v>
      </c>
      <c r="F3">
        <v>1</v>
      </c>
      <c r="G3">
        <v>7157832</v>
      </c>
      <c r="H3">
        <v>2</v>
      </c>
      <c r="I3" t="s">
        <v>153</v>
      </c>
      <c r="L3">
        <v>1344</v>
      </c>
      <c r="Y3">
        <v>274.78</v>
      </c>
      <c r="AA3">
        <v>0</v>
      </c>
      <c r="AB3">
        <v>1</v>
      </c>
      <c r="AC3">
        <v>0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274.78</v>
      </c>
      <c r="AV3">
        <v>0</v>
      </c>
      <c r="AW3">
        <v>2</v>
      </c>
      <c r="AX3">
        <v>20316567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B3">
        <v>0</v>
      </c>
    </row>
    <row r="4" spans="1:80" ht="12.75">
      <c r="A4">
        <f>ROW(Source!A25)</f>
        <v>25</v>
      </c>
      <c r="B4">
        <v>20316566</v>
      </c>
      <c r="C4">
        <v>20316564</v>
      </c>
      <c r="D4">
        <v>7231445</v>
      </c>
      <c r="E4">
        <v>1</v>
      </c>
      <c r="F4">
        <v>1</v>
      </c>
      <c r="G4">
        <v>7157832</v>
      </c>
      <c r="H4">
        <v>2</v>
      </c>
      <c r="I4" t="s">
        <v>153</v>
      </c>
      <c r="L4">
        <v>1368</v>
      </c>
      <c r="Y4">
        <v>11.71</v>
      </c>
      <c r="AA4">
        <v>0</v>
      </c>
      <c r="AB4">
        <v>2.36</v>
      </c>
      <c r="AC4">
        <v>0.1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11.71</v>
      </c>
      <c r="AV4">
        <v>0</v>
      </c>
      <c r="AW4">
        <v>2</v>
      </c>
      <c r="AX4">
        <v>20316566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B4">
        <v>0</v>
      </c>
    </row>
    <row r="5" spans="1:80" ht="12.75">
      <c r="A5">
        <f>ROW(Source!A25)</f>
        <v>25</v>
      </c>
      <c r="B5">
        <v>20316568</v>
      </c>
      <c r="C5">
        <v>20316564</v>
      </c>
      <c r="D5">
        <v>7231843</v>
      </c>
      <c r="E5">
        <v>1</v>
      </c>
      <c r="F5">
        <v>1</v>
      </c>
      <c r="G5">
        <v>7157832</v>
      </c>
      <c r="H5">
        <v>3</v>
      </c>
      <c r="I5" t="s">
        <v>153</v>
      </c>
      <c r="L5">
        <v>1348</v>
      </c>
      <c r="Y5">
        <v>0.00124</v>
      </c>
      <c r="AA5">
        <v>6521.42</v>
      </c>
      <c r="AB5">
        <v>0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0.00124</v>
      </c>
      <c r="AV5">
        <v>0</v>
      </c>
      <c r="AW5">
        <v>2</v>
      </c>
      <c r="AX5">
        <v>20316568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B5">
        <v>0</v>
      </c>
    </row>
    <row r="6" spans="1:80" ht="12.75">
      <c r="A6">
        <f>ROW(Source!A25)</f>
        <v>25</v>
      </c>
      <c r="B6">
        <v>20316569</v>
      </c>
      <c r="C6">
        <v>20316564</v>
      </c>
      <c r="D6">
        <v>7233164</v>
      </c>
      <c r="E6">
        <v>1</v>
      </c>
      <c r="F6">
        <v>1</v>
      </c>
      <c r="G6">
        <v>7157832</v>
      </c>
      <c r="H6">
        <v>3</v>
      </c>
      <c r="I6" t="s">
        <v>153</v>
      </c>
      <c r="L6">
        <v>1348</v>
      </c>
      <c r="Y6">
        <v>0.035</v>
      </c>
      <c r="AA6">
        <v>17750.86</v>
      </c>
      <c r="AB6">
        <v>0</v>
      </c>
      <c r="AC6">
        <v>0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0.035</v>
      </c>
      <c r="AV6">
        <v>0</v>
      </c>
      <c r="AW6">
        <v>2</v>
      </c>
      <c r="AX6">
        <v>20316569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B6">
        <v>0</v>
      </c>
    </row>
    <row r="7" spans="1:80" ht="12.75">
      <c r="A7">
        <f>ROW(Source!A25)</f>
        <v>25</v>
      </c>
      <c r="B7">
        <v>20316570</v>
      </c>
      <c r="C7">
        <v>20316564</v>
      </c>
      <c r="D7">
        <v>7232455</v>
      </c>
      <c r="E7">
        <v>1</v>
      </c>
      <c r="F7">
        <v>1</v>
      </c>
      <c r="G7">
        <v>7157832</v>
      </c>
      <c r="H7">
        <v>3</v>
      </c>
      <c r="I7" t="s">
        <v>153</v>
      </c>
      <c r="L7">
        <v>1327</v>
      </c>
      <c r="Y7">
        <v>41.392</v>
      </c>
      <c r="AA7">
        <v>5.51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41.392</v>
      </c>
      <c r="AV7">
        <v>0</v>
      </c>
      <c r="AW7">
        <v>2</v>
      </c>
      <c r="AX7">
        <v>20316570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B7">
        <v>0</v>
      </c>
    </row>
    <row r="8" spans="1:80" ht="12.75">
      <c r="A8">
        <f>ROW(Source!A25)</f>
        <v>25</v>
      </c>
      <c r="B8">
        <v>20316571</v>
      </c>
      <c r="C8">
        <v>20316564</v>
      </c>
      <c r="D8">
        <v>7231791</v>
      </c>
      <c r="E8">
        <v>1</v>
      </c>
      <c r="F8">
        <v>1</v>
      </c>
      <c r="G8">
        <v>7157832</v>
      </c>
      <c r="H8">
        <v>3</v>
      </c>
      <c r="I8" t="s">
        <v>153</v>
      </c>
      <c r="L8">
        <v>1339</v>
      </c>
      <c r="Y8">
        <v>0.08</v>
      </c>
      <c r="AA8">
        <v>2472.13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0.08</v>
      </c>
      <c r="AV8">
        <v>0</v>
      </c>
      <c r="AW8">
        <v>2</v>
      </c>
      <c r="AX8">
        <v>20316571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B8">
        <v>0</v>
      </c>
    </row>
    <row r="9" spans="1:80" ht="12.75">
      <c r="A9">
        <f>ROW(Source!A25)</f>
        <v>25</v>
      </c>
      <c r="B9">
        <v>20316572</v>
      </c>
      <c r="C9">
        <v>20316564</v>
      </c>
      <c r="D9">
        <v>7239957</v>
      </c>
      <c r="E9">
        <v>1</v>
      </c>
      <c r="F9">
        <v>1</v>
      </c>
      <c r="G9">
        <v>7157832</v>
      </c>
      <c r="H9">
        <v>3</v>
      </c>
      <c r="I9" t="s">
        <v>153</v>
      </c>
      <c r="L9">
        <v>1301</v>
      </c>
      <c r="Y9">
        <v>290</v>
      </c>
      <c r="AA9">
        <v>4.36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290</v>
      </c>
      <c r="AV9">
        <v>0</v>
      </c>
      <c r="AW9">
        <v>2</v>
      </c>
      <c r="AX9">
        <v>20316572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B9">
        <v>0</v>
      </c>
    </row>
    <row r="10" spans="1:80" ht="12.75">
      <c r="A10">
        <f>ROW(Source!A25)</f>
        <v>25</v>
      </c>
      <c r="B10">
        <v>20316573</v>
      </c>
      <c r="C10">
        <v>20316564</v>
      </c>
      <c r="D10">
        <v>7239848</v>
      </c>
      <c r="E10">
        <v>1</v>
      </c>
      <c r="F10">
        <v>1</v>
      </c>
      <c r="G10">
        <v>7157832</v>
      </c>
      <c r="H10">
        <v>3</v>
      </c>
      <c r="I10" t="s">
        <v>31</v>
      </c>
      <c r="J10" t="s">
        <v>34</v>
      </c>
      <c r="K10" t="s">
        <v>32</v>
      </c>
      <c r="L10">
        <v>1327</v>
      </c>
      <c r="N10">
        <v>1005</v>
      </c>
      <c r="O10" t="s">
        <v>33</v>
      </c>
      <c r="P10" t="s">
        <v>33</v>
      </c>
      <c r="Q10">
        <v>1</v>
      </c>
      <c r="Y10">
        <v>100</v>
      </c>
      <c r="AA10">
        <v>1146.93</v>
      </c>
      <c r="AB10">
        <v>0</v>
      </c>
      <c r="AC10">
        <v>0</v>
      </c>
      <c r="AD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T10">
        <v>100</v>
      </c>
      <c r="AV10">
        <v>0</v>
      </c>
      <c r="AW10">
        <v>1</v>
      </c>
      <c r="AX10">
        <v>-1</v>
      </c>
      <c r="AY10">
        <v>0</v>
      </c>
      <c r="AZ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B10">
        <v>0</v>
      </c>
    </row>
    <row r="11" spans="1:80" ht="12.75">
      <c r="A11">
        <f>ROW(Source!A27)</f>
        <v>27</v>
      </c>
      <c r="B11">
        <v>20316611</v>
      </c>
      <c r="C11">
        <v>20316602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153</v>
      </c>
      <c r="L11">
        <v>1191</v>
      </c>
      <c r="Y11">
        <v>0.3105</v>
      </c>
      <c r="AA11">
        <v>0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1</v>
      </c>
      <c r="AQ11">
        <v>0</v>
      </c>
      <c r="AR11">
        <v>0</v>
      </c>
      <c r="AT11">
        <v>0.27</v>
      </c>
      <c r="AU11" t="s">
        <v>41</v>
      </c>
      <c r="AV11">
        <v>1</v>
      </c>
      <c r="AW11">
        <v>2</v>
      </c>
      <c r="AX11">
        <v>20316611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B11">
        <v>0</v>
      </c>
    </row>
    <row r="12" spans="1:80" ht="12.75">
      <c r="A12">
        <f>ROW(Source!A27)</f>
        <v>27</v>
      </c>
      <c r="B12">
        <v>20316613</v>
      </c>
      <c r="C12">
        <v>20316602</v>
      </c>
      <c r="D12">
        <v>7159942</v>
      </c>
      <c r="E12">
        <v>7157832</v>
      </c>
      <c r="F12">
        <v>1</v>
      </c>
      <c r="G12">
        <v>7157832</v>
      </c>
      <c r="H12">
        <v>2</v>
      </c>
      <c r="I12" t="s">
        <v>153</v>
      </c>
      <c r="L12">
        <v>1344</v>
      </c>
      <c r="Y12">
        <v>0.0625</v>
      </c>
      <c r="AA12">
        <v>0</v>
      </c>
      <c r="AB12">
        <v>1</v>
      </c>
      <c r="AC12">
        <v>0</v>
      </c>
      <c r="AD12">
        <v>0</v>
      </c>
      <c r="AN12">
        <v>0</v>
      </c>
      <c r="AO12">
        <v>1</v>
      </c>
      <c r="AP12">
        <v>1</v>
      </c>
      <c r="AQ12">
        <v>0</v>
      </c>
      <c r="AR12">
        <v>0</v>
      </c>
      <c r="AT12">
        <v>0.05</v>
      </c>
      <c r="AU12" t="s">
        <v>40</v>
      </c>
      <c r="AV12">
        <v>0</v>
      </c>
      <c r="AW12">
        <v>2</v>
      </c>
      <c r="AX12">
        <v>20316613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B12">
        <v>0</v>
      </c>
    </row>
    <row r="13" spans="1:80" ht="12.75">
      <c r="A13">
        <f>ROW(Source!A27)</f>
        <v>27</v>
      </c>
      <c r="B13">
        <v>20316612</v>
      </c>
      <c r="C13">
        <v>20316602</v>
      </c>
      <c r="D13">
        <v>7231491</v>
      </c>
      <c r="E13">
        <v>1</v>
      </c>
      <c r="F13">
        <v>1</v>
      </c>
      <c r="G13">
        <v>7157832</v>
      </c>
      <c r="H13">
        <v>2</v>
      </c>
      <c r="I13" t="s">
        <v>153</v>
      </c>
      <c r="L13">
        <v>1368</v>
      </c>
      <c r="Y13">
        <v>0.25</v>
      </c>
      <c r="AA13">
        <v>0</v>
      </c>
      <c r="AB13">
        <v>0.64</v>
      </c>
      <c r="AC13">
        <v>0.04</v>
      </c>
      <c r="AD13">
        <v>0</v>
      </c>
      <c r="AN13">
        <v>0</v>
      </c>
      <c r="AO13">
        <v>1</v>
      </c>
      <c r="AP13">
        <v>1</v>
      </c>
      <c r="AQ13">
        <v>0</v>
      </c>
      <c r="AR13">
        <v>0</v>
      </c>
      <c r="AT13">
        <v>0.2</v>
      </c>
      <c r="AU13" t="s">
        <v>40</v>
      </c>
      <c r="AV13">
        <v>0</v>
      </c>
      <c r="AW13">
        <v>2</v>
      </c>
      <c r="AX13">
        <v>20316612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B13">
        <v>0</v>
      </c>
    </row>
    <row r="14" spans="1:80" ht="12.75">
      <c r="A14">
        <f>ROW(Source!A27)</f>
        <v>27</v>
      </c>
      <c r="B14">
        <v>20316617</v>
      </c>
      <c r="C14">
        <v>20316602</v>
      </c>
      <c r="D14">
        <v>7239006</v>
      </c>
      <c r="E14">
        <v>1</v>
      </c>
      <c r="F14">
        <v>1</v>
      </c>
      <c r="G14">
        <v>7157832</v>
      </c>
      <c r="H14">
        <v>3</v>
      </c>
      <c r="I14" t="s">
        <v>45</v>
      </c>
      <c r="J14" t="s">
        <v>48</v>
      </c>
      <c r="K14" t="s">
        <v>46</v>
      </c>
      <c r="L14">
        <v>1354</v>
      </c>
      <c r="N14">
        <v>1010</v>
      </c>
      <c r="O14" t="s">
        <v>47</v>
      </c>
      <c r="P14" t="s">
        <v>47</v>
      </c>
      <c r="Q14">
        <v>1</v>
      </c>
      <c r="Y14">
        <v>1</v>
      </c>
      <c r="AA14">
        <v>328.34</v>
      </c>
      <c r="AB14">
        <v>0</v>
      </c>
      <c r="AC14">
        <v>0</v>
      </c>
      <c r="AD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T14">
        <v>1</v>
      </c>
      <c r="AV14">
        <v>0</v>
      </c>
      <c r="AW14">
        <v>1</v>
      </c>
      <c r="AX14">
        <v>-1</v>
      </c>
      <c r="AY14">
        <v>0</v>
      </c>
      <c r="AZ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B14">
        <v>0</v>
      </c>
    </row>
    <row r="15" spans="1:80" ht="12.75">
      <c r="A15">
        <f>ROW(Source!A29)</f>
        <v>29</v>
      </c>
      <c r="B15">
        <v>20316577</v>
      </c>
      <c r="C15">
        <v>20316576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153</v>
      </c>
      <c r="L15">
        <v>1191</v>
      </c>
      <c r="Y15">
        <v>81.6</v>
      </c>
      <c r="AA15">
        <v>0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81.6</v>
      </c>
      <c r="AV15">
        <v>1</v>
      </c>
      <c r="AW15">
        <v>2</v>
      </c>
      <c r="AX15">
        <v>20316577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B15">
        <v>0</v>
      </c>
    </row>
    <row r="16" spans="1:80" ht="12.75">
      <c r="A16">
        <f>ROW(Source!A29)</f>
        <v>29</v>
      </c>
      <c r="B16">
        <v>20316583</v>
      </c>
      <c r="C16">
        <v>20316576</v>
      </c>
      <c r="D16">
        <v>7232703</v>
      </c>
      <c r="E16">
        <v>1</v>
      </c>
      <c r="F16">
        <v>1</v>
      </c>
      <c r="G16">
        <v>7157832</v>
      </c>
      <c r="H16">
        <v>3</v>
      </c>
      <c r="I16" t="s">
        <v>56</v>
      </c>
      <c r="J16" t="s">
        <v>58</v>
      </c>
      <c r="K16" t="s">
        <v>57</v>
      </c>
      <c r="L16">
        <v>1327</v>
      </c>
      <c r="N16">
        <v>1005</v>
      </c>
      <c r="O16" t="s">
        <v>33</v>
      </c>
      <c r="P16" t="s">
        <v>33</v>
      </c>
      <c r="Q16">
        <v>1</v>
      </c>
      <c r="Y16">
        <v>110</v>
      </c>
      <c r="AA16">
        <v>33.56</v>
      </c>
      <c r="AB16">
        <v>0</v>
      </c>
      <c r="AC16">
        <v>0</v>
      </c>
      <c r="AD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T16">
        <v>110</v>
      </c>
      <c r="AV16">
        <v>0</v>
      </c>
      <c r="AW16">
        <v>1</v>
      </c>
      <c r="AX16">
        <v>-1</v>
      </c>
      <c r="AY16">
        <v>0</v>
      </c>
      <c r="AZ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B16">
        <v>0</v>
      </c>
    </row>
    <row r="17" spans="1:80" ht="12.75">
      <c r="A17">
        <f>ROW(Source!A29)</f>
        <v>29</v>
      </c>
      <c r="B17">
        <v>20316585</v>
      </c>
      <c r="C17">
        <v>20316576</v>
      </c>
      <c r="D17">
        <v>7231857</v>
      </c>
      <c r="E17">
        <v>1</v>
      </c>
      <c r="F17">
        <v>1</v>
      </c>
      <c r="G17">
        <v>7157832</v>
      </c>
      <c r="H17">
        <v>3</v>
      </c>
      <c r="I17" t="s">
        <v>60</v>
      </c>
      <c r="J17" t="s">
        <v>63</v>
      </c>
      <c r="K17" t="s">
        <v>61</v>
      </c>
      <c r="L17">
        <v>1348</v>
      </c>
      <c r="N17">
        <v>1009</v>
      </c>
      <c r="O17" t="s">
        <v>62</v>
      </c>
      <c r="P17" t="s">
        <v>62</v>
      </c>
      <c r="Q17">
        <v>1000</v>
      </c>
      <c r="Y17">
        <v>0.25</v>
      </c>
      <c r="AA17">
        <v>1227.38</v>
      </c>
      <c r="AB17">
        <v>0</v>
      </c>
      <c r="AC17">
        <v>0</v>
      </c>
      <c r="AD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T17">
        <v>0.25</v>
      </c>
      <c r="AV17">
        <v>0</v>
      </c>
      <c r="AW17">
        <v>1</v>
      </c>
      <c r="AX17">
        <v>-1</v>
      </c>
      <c r="AY17">
        <v>0</v>
      </c>
      <c r="AZ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B17">
        <v>0</v>
      </c>
    </row>
    <row r="18" spans="1:80" ht="12.75">
      <c r="A18">
        <f>ROW(Source!A32)</f>
        <v>32</v>
      </c>
      <c r="B18">
        <v>20316544</v>
      </c>
      <c r="C18">
        <v>20316543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153</v>
      </c>
      <c r="L18">
        <v>1191</v>
      </c>
      <c r="Y18">
        <v>205.85</v>
      </c>
      <c r="AA18">
        <v>0</v>
      </c>
      <c r="AB18">
        <v>0</v>
      </c>
      <c r="AC18">
        <v>0</v>
      </c>
      <c r="AD18">
        <v>0</v>
      </c>
      <c r="AN18">
        <v>0</v>
      </c>
      <c r="AO18">
        <v>1</v>
      </c>
      <c r="AP18">
        <v>1</v>
      </c>
      <c r="AQ18">
        <v>0</v>
      </c>
      <c r="AR18">
        <v>0</v>
      </c>
      <c r="AT18">
        <v>179</v>
      </c>
      <c r="AU18" t="s">
        <v>41</v>
      </c>
      <c r="AV18">
        <v>1</v>
      </c>
      <c r="AW18">
        <v>2</v>
      </c>
      <c r="AX18">
        <v>20316544</v>
      </c>
      <c r="AY18">
        <v>1</v>
      </c>
      <c r="AZ18">
        <v>0</v>
      </c>
      <c r="BA18">
        <v>18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B18">
        <v>0</v>
      </c>
    </row>
    <row r="19" spans="1:80" ht="12.75">
      <c r="A19">
        <f>ROW(Source!A32)</f>
        <v>32</v>
      </c>
      <c r="B19">
        <v>20316545</v>
      </c>
      <c r="C19">
        <v>20316543</v>
      </c>
      <c r="D19">
        <v>7159942</v>
      </c>
      <c r="E19">
        <v>7157832</v>
      </c>
      <c r="F19">
        <v>1</v>
      </c>
      <c r="G19">
        <v>7157832</v>
      </c>
      <c r="H19">
        <v>2</v>
      </c>
      <c r="I19" t="s">
        <v>153</v>
      </c>
      <c r="L19">
        <v>1344</v>
      </c>
      <c r="Y19">
        <v>108.86250000000001</v>
      </c>
      <c r="AA19">
        <v>0</v>
      </c>
      <c r="AB19">
        <v>1</v>
      </c>
      <c r="AC19">
        <v>0</v>
      </c>
      <c r="AD19">
        <v>0</v>
      </c>
      <c r="AN19">
        <v>0</v>
      </c>
      <c r="AO19">
        <v>1</v>
      </c>
      <c r="AP19">
        <v>1</v>
      </c>
      <c r="AQ19">
        <v>0</v>
      </c>
      <c r="AR19">
        <v>0</v>
      </c>
      <c r="AT19">
        <v>87.09</v>
      </c>
      <c r="AU19" t="s">
        <v>40</v>
      </c>
      <c r="AV19">
        <v>0</v>
      </c>
      <c r="AW19">
        <v>2</v>
      </c>
      <c r="AX19">
        <v>20316545</v>
      </c>
      <c r="AY19">
        <v>1</v>
      </c>
      <c r="AZ19">
        <v>0</v>
      </c>
      <c r="BA19">
        <v>19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B19">
        <v>0</v>
      </c>
    </row>
    <row r="20" spans="1:80" ht="12.75">
      <c r="A20">
        <f>ROW(Source!A32)</f>
        <v>32</v>
      </c>
      <c r="B20">
        <v>20316550</v>
      </c>
      <c r="C20">
        <v>20316543</v>
      </c>
      <c r="D20">
        <v>7182707</v>
      </c>
      <c r="E20">
        <v>7157832</v>
      </c>
      <c r="F20">
        <v>1</v>
      </c>
      <c r="G20">
        <v>7157832</v>
      </c>
      <c r="H20">
        <v>3</v>
      </c>
      <c r="I20" t="s">
        <v>153</v>
      </c>
      <c r="L20">
        <v>1344</v>
      </c>
      <c r="Y20">
        <v>0.71</v>
      </c>
      <c r="AA20">
        <v>1</v>
      </c>
      <c r="AB20">
        <v>0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0.71</v>
      </c>
      <c r="AV20">
        <v>0</v>
      </c>
      <c r="AW20">
        <v>2</v>
      </c>
      <c r="AX20">
        <v>20316550</v>
      </c>
      <c r="AY20">
        <v>1</v>
      </c>
      <c r="AZ20">
        <v>0</v>
      </c>
      <c r="BA20">
        <v>21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B20">
        <v>0</v>
      </c>
    </row>
    <row r="21" spans="1:80" ht="12.75">
      <c r="A21">
        <f>ROW(Source!A32)</f>
        <v>32</v>
      </c>
      <c r="B21">
        <v>20316556</v>
      </c>
      <c r="C21">
        <v>20316543</v>
      </c>
      <c r="D21">
        <v>7231827</v>
      </c>
      <c r="E21">
        <v>1</v>
      </c>
      <c r="F21">
        <v>1</v>
      </c>
      <c r="G21">
        <v>7157832</v>
      </c>
      <c r="H21">
        <v>3</v>
      </c>
      <c r="I21" t="s">
        <v>71</v>
      </c>
      <c r="J21" t="s">
        <v>74</v>
      </c>
      <c r="K21" t="s">
        <v>72</v>
      </c>
      <c r="L21">
        <v>1339</v>
      </c>
      <c r="N21">
        <v>1007</v>
      </c>
      <c r="O21" t="s">
        <v>73</v>
      </c>
      <c r="P21" t="s">
        <v>73</v>
      </c>
      <c r="Q21">
        <v>1</v>
      </c>
      <c r="Y21">
        <v>0.2464</v>
      </c>
      <c r="AA21">
        <v>7.07</v>
      </c>
      <c r="AB21">
        <v>0</v>
      </c>
      <c r="AC21">
        <v>0</v>
      </c>
      <c r="AD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T21">
        <v>0.2464</v>
      </c>
      <c r="AV21">
        <v>0</v>
      </c>
      <c r="AW21">
        <v>1</v>
      </c>
      <c r="AX21">
        <v>-1</v>
      </c>
      <c r="AY21">
        <v>0</v>
      </c>
      <c r="AZ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B21">
        <v>0</v>
      </c>
    </row>
    <row r="22" spans="1:80" ht="12.75">
      <c r="A22">
        <f>ROW(Source!A32)</f>
        <v>32</v>
      </c>
      <c r="B22">
        <v>20316560</v>
      </c>
      <c r="C22">
        <v>20316543</v>
      </c>
      <c r="D22">
        <v>7234972</v>
      </c>
      <c r="E22">
        <v>1</v>
      </c>
      <c r="F22">
        <v>1</v>
      </c>
      <c r="G22">
        <v>7157832</v>
      </c>
      <c r="H22">
        <v>3</v>
      </c>
      <c r="I22" t="s">
        <v>80</v>
      </c>
      <c r="J22" t="s">
        <v>82</v>
      </c>
      <c r="K22" t="s">
        <v>81</v>
      </c>
      <c r="L22">
        <v>1339</v>
      </c>
      <c r="N22">
        <v>1007</v>
      </c>
      <c r="O22" t="s">
        <v>73</v>
      </c>
      <c r="P22" t="s">
        <v>73</v>
      </c>
      <c r="Q22">
        <v>1</v>
      </c>
      <c r="Y22">
        <v>0.08</v>
      </c>
      <c r="AA22">
        <v>481.69</v>
      </c>
      <c r="AB22">
        <v>0</v>
      </c>
      <c r="AC22">
        <v>0</v>
      </c>
      <c r="AD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T22">
        <v>0.08</v>
      </c>
      <c r="AV22">
        <v>0</v>
      </c>
      <c r="AW22">
        <v>1</v>
      </c>
      <c r="AX22">
        <v>-1</v>
      </c>
      <c r="AY22">
        <v>0</v>
      </c>
      <c r="AZ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B22">
        <v>0</v>
      </c>
    </row>
    <row r="23" spans="1:80" ht="12.75">
      <c r="A23">
        <f>ROW(Source!A32)</f>
        <v>32</v>
      </c>
      <c r="B23">
        <v>20316562</v>
      </c>
      <c r="C23">
        <v>20316543</v>
      </c>
      <c r="D23">
        <v>7234974</v>
      </c>
      <c r="E23">
        <v>1</v>
      </c>
      <c r="F23">
        <v>1</v>
      </c>
      <c r="G23">
        <v>7157832</v>
      </c>
      <c r="H23">
        <v>3</v>
      </c>
      <c r="I23" t="s">
        <v>84</v>
      </c>
      <c r="J23" t="s">
        <v>86</v>
      </c>
      <c r="K23" t="s">
        <v>85</v>
      </c>
      <c r="L23">
        <v>1339</v>
      </c>
      <c r="N23">
        <v>1007</v>
      </c>
      <c r="O23" t="s">
        <v>73</v>
      </c>
      <c r="P23" t="s">
        <v>73</v>
      </c>
      <c r="Q23">
        <v>1</v>
      </c>
      <c r="Y23">
        <v>3.362197</v>
      </c>
      <c r="AA23">
        <v>540.42</v>
      </c>
      <c r="AB23">
        <v>0</v>
      </c>
      <c r="AC23">
        <v>0</v>
      </c>
      <c r="AD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T23">
        <v>3.362197</v>
      </c>
      <c r="AV23">
        <v>0</v>
      </c>
      <c r="AW23">
        <v>1</v>
      </c>
      <c r="AX23">
        <v>-1</v>
      </c>
      <c r="AY23">
        <v>0</v>
      </c>
      <c r="AZ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B23">
        <v>0</v>
      </c>
    </row>
    <row r="24" spans="1:80" ht="12.75">
      <c r="A24">
        <f>ROW(Source!A32)</f>
        <v>32</v>
      </c>
      <c r="B24">
        <v>20316558</v>
      </c>
      <c r="C24">
        <v>20316543</v>
      </c>
      <c r="D24">
        <v>7234984</v>
      </c>
      <c r="E24">
        <v>1</v>
      </c>
      <c r="F24">
        <v>1</v>
      </c>
      <c r="G24">
        <v>7157832</v>
      </c>
      <c r="H24">
        <v>3</v>
      </c>
      <c r="I24" t="s">
        <v>76</v>
      </c>
      <c r="J24" t="s">
        <v>78</v>
      </c>
      <c r="K24" t="s">
        <v>77</v>
      </c>
      <c r="L24">
        <v>1348</v>
      </c>
      <c r="N24">
        <v>1009</v>
      </c>
      <c r="O24" t="s">
        <v>62</v>
      </c>
      <c r="P24" t="s">
        <v>62</v>
      </c>
      <c r="Q24">
        <v>1000</v>
      </c>
      <c r="Y24">
        <v>1.408</v>
      </c>
      <c r="AA24">
        <v>1823.55</v>
      </c>
      <c r="AB24">
        <v>0</v>
      </c>
      <c r="AC24">
        <v>0</v>
      </c>
      <c r="AD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T24">
        <v>1.408</v>
      </c>
      <c r="AV24">
        <v>0</v>
      </c>
      <c r="AW24">
        <v>1</v>
      </c>
      <c r="AX24">
        <v>-1</v>
      </c>
      <c r="AY24">
        <v>0</v>
      </c>
      <c r="AZ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B24">
        <v>0</v>
      </c>
    </row>
    <row r="25" spans="1:80" ht="12.75">
      <c r="A25">
        <f>ROW(Source!A37)</f>
        <v>37</v>
      </c>
      <c r="B25">
        <v>20316586</v>
      </c>
      <c r="C25">
        <v>20316563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153</v>
      </c>
      <c r="L25">
        <v>1191</v>
      </c>
      <c r="Y25">
        <v>53.81999999999999</v>
      </c>
      <c r="AA25">
        <v>0</v>
      </c>
      <c r="AB25">
        <v>0</v>
      </c>
      <c r="AC25">
        <v>0</v>
      </c>
      <c r="AD25">
        <v>0</v>
      </c>
      <c r="AN25">
        <v>0</v>
      </c>
      <c r="AO25">
        <v>1</v>
      </c>
      <c r="AP25">
        <v>1</v>
      </c>
      <c r="AQ25">
        <v>0</v>
      </c>
      <c r="AR25">
        <v>0</v>
      </c>
      <c r="AT25">
        <v>46.8</v>
      </c>
      <c r="AU25" t="s">
        <v>41</v>
      </c>
      <c r="AV25">
        <v>1</v>
      </c>
      <c r="AW25">
        <v>2</v>
      </c>
      <c r="AX25">
        <v>20316586</v>
      </c>
      <c r="AY25">
        <v>1</v>
      </c>
      <c r="AZ25">
        <v>0</v>
      </c>
      <c r="BA25">
        <v>25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B25">
        <v>0</v>
      </c>
    </row>
    <row r="26" spans="1:80" ht="12.75">
      <c r="A26">
        <f>ROW(Source!A37)</f>
        <v>37</v>
      </c>
      <c r="B26">
        <v>20316587</v>
      </c>
      <c r="C26">
        <v>20316563</v>
      </c>
      <c r="D26">
        <v>7159942</v>
      </c>
      <c r="E26">
        <v>7157832</v>
      </c>
      <c r="F26">
        <v>1</v>
      </c>
      <c r="G26">
        <v>7157832</v>
      </c>
      <c r="H26">
        <v>2</v>
      </c>
      <c r="I26" t="s">
        <v>153</v>
      </c>
      <c r="L26">
        <v>1344</v>
      </c>
      <c r="Y26">
        <v>32.5625</v>
      </c>
      <c r="AA26">
        <v>0</v>
      </c>
      <c r="AB26">
        <v>1</v>
      </c>
      <c r="AC26">
        <v>0</v>
      </c>
      <c r="AD26">
        <v>0</v>
      </c>
      <c r="AN26">
        <v>0</v>
      </c>
      <c r="AO26">
        <v>1</v>
      </c>
      <c r="AP26">
        <v>1</v>
      </c>
      <c r="AQ26">
        <v>0</v>
      </c>
      <c r="AR26">
        <v>0</v>
      </c>
      <c r="AT26">
        <v>26.05</v>
      </c>
      <c r="AU26" t="s">
        <v>40</v>
      </c>
      <c r="AV26">
        <v>0</v>
      </c>
      <c r="AW26">
        <v>2</v>
      </c>
      <c r="AX26">
        <v>20316587</v>
      </c>
      <c r="AY26">
        <v>1</v>
      </c>
      <c r="AZ26">
        <v>0</v>
      </c>
      <c r="BA26">
        <v>26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B26">
        <v>0</v>
      </c>
    </row>
    <row r="27" spans="1:80" ht="12.75">
      <c r="A27">
        <f>ROW(Source!A37)</f>
        <v>37</v>
      </c>
      <c r="B27">
        <v>20316591</v>
      </c>
      <c r="C27">
        <v>20316563</v>
      </c>
      <c r="D27">
        <v>7182707</v>
      </c>
      <c r="E27">
        <v>7157832</v>
      </c>
      <c r="F27">
        <v>1</v>
      </c>
      <c r="G27">
        <v>7157832</v>
      </c>
      <c r="H27">
        <v>3</v>
      </c>
      <c r="I27" t="s">
        <v>153</v>
      </c>
      <c r="L27">
        <v>1344</v>
      </c>
      <c r="Y27">
        <v>4.34</v>
      </c>
      <c r="AA27">
        <v>1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4.34</v>
      </c>
      <c r="AV27">
        <v>0</v>
      </c>
      <c r="AW27">
        <v>2</v>
      </c>
      <c r="AX27">
        <v>20316591</v>
      </c>
      <c r="AY27">
        <v>1</v>
      </c>
      <c r="AZ27">
        <v>0</v>
      </c>
      <c r="BA27">
        <v>27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B27">
        <v>0</v>
      </c>
    </row>
    <row r="28" spans="1:80" ht="12.75">
      <c r="A28">
        <f>ROW(Source!A37)</f>
        <v>37</v>
      </c>
      <c r="B28">
        <v>20316597</v>
      </c>
      <c r="C28">
        <v>20316563</v>
      </c>
      <c r="D28">
        <v>7233144</v>
      </c>
      <c r="E28">
        <v>1</v>
      </c>
      <c r="F28">
        <v>1</v>
      </c>
      <c r="G28">
        <v>7157832</v>
      </c>
      <c r="H28">
        <v>3</v>
      </c>
      <c r="I28" t="s">
        <v>94</v>
      </c>
      <c r="J28" t="s">
        <v>96</v>
      </c>
      <c r="K28" t="s">
        <v>95</v>
      </c>
      <c r="L28">
        <v>1348</v>
      </c>
      <c r="N28">
        <v>1009</v>
      </c>
      <c r="O28" t="s">
        <v>62</v>
      </c>
      <c r="P28" t="s">
        <v>62</v>
      </c>
      <c r="Q28">
        <v>1000</v>
      </c>
      <c r="Y28">
        <v>0.0507</v>
      </c>
      <c r="AA28">
        <v>3015.62</v>
      </c>
      <c r="AB28">
        <v>0</v>
      </c>
      <c r="AC28">
        <v>0</v>
      </c>
      <c r="AD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T28">
        <v>0.0507</v>
      </c>
      <c r="AV28">
        <v>0</v>
      </c>
      <c r="AW28">
        <v>1</v>
      </c>
      <c r="AX28">
        <v>-1</v>
      </c>
      <c r="AY28">
        <v>0</v>
      </c>
      <c r="AZ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B28">
        <v>0</v>
      </c>
    </row>
    <row r="29" spans="1:80" ht="12.75">
      <c r="A29">
        <f>ROW(Source!A37)</f>
        <v>37</v>
      </c>
      <c r="B29">
        <v>20316599</v>
      </c>
      <c r="C29">
        <v>20316563</v>
      </c>
      <c r="D29">
        <v>7233805</v>
      </c>
      <c r="E29">
        <v>1</v>
      </c>
      <c r="F29">
        <v>1</v>
      </c>
      <c r="G29">
        <v>7157832</v>
      </c>
      <c r="H29">
        <v>3</v>
      </c>
      <c r="I29" t="s">
        <v>98</v>
      </c>
      <c r="J29" t="s">
        <v>100</v>
      </c>
      <c r="K29" t="s">
        <v>99</v>
      </c>
      <c r="L29">
        <v>1348</v>
      </c>
      <c r="N29">
        <v>1009</v>
      </c>
      <c r="O29" t="s">
        <v>62</v>
      </c>
      <c r="P29" t="s">
        <v>62</v>
      </c>
      <c r="Q29">
        <v>1000</v>
      </c>
      <c r="Y29">
        <v>0.0251</v>
      </c>
      <c r="AA29">
        <v>42508.19</v>
      </c>
      <c r="AB29">
        <v>0</v>
      </c>
      <c r="AC29">
        <v>0</v>
      </c>
      <c r="AD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T29">
        <v>0.0251</v>
      </c>
      <c r="AV29">
        <v>0</v>
      </c>
      <c r="AW29">
        <v>1</v>
      </c>
      <c r="AX29">
        <v>-1</v>
      </c>
      <c r="AY29">
        <v>0</v>
      </c>
      <c r="AZ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B29">
        <v>0</v>
      </c>
    </row>
    <row r="30" spans="1:80" ht="12.75">
      <c r="A30">
        <f>ROW(Source!A37)</f>
        <v>37</v>
      </c>
      <c r="B30">
        <v>20316601</v>
      </c>
      <c r="C30">
        <v>20316563</v>
      </c>
      <c r="D30">
        <v>7232430</v>
      </c>
      <c r="E30">
        <v>1</v>
      </c>
      <c r="F30">
        <v>1</v>
      </c>
      <c r="G30">
        <v>7157832</v>
      </c>
      <c r="H30">
        <v>3</v>
      </c>
      <c r="I30" t="s">
        <v>102</v>
      </c>
      <c r="J30" t="s">
        <v>105</v>
      </c>
      <c r="K30" t="s">
        <v>103</v>
      </c>
      <c r="L30">
        <v>1346</v>
      </c>
      <c r="N30">
        <v>1009</v>
      </c>
      <c r="O30" t="s">
        <v>104</v>
      </c>
      <c r="P30" t="s">
        <v>104</v>
      </c>
      <c r="Q30">
        <v>1</v>
      </c>
      <c r="Y30">
        <v>12.8</v>
      </c>
      <c r="AA30">
        <v>20.19</v>
      </c>
      <c r="AB30">
        <v>0</v>
      </c>
      <c r="AC30">
        <v>0</v>
      </c>
      <c r="AD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T30">
        <v>12.8</v>
      </c>
      <c r="AV30">
        <v>0</v>
      </c>
      <c r="AW30">
        <v>1</v>
      </c>
      <c r="AX30">
        <v>-1</v>
      </c>
      <c r="AY30">
        <v>0</v>
      </c>
      <c r="AZ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B30">
        <v>0</v>
      </c>
    </row>
    <row r="31" spans="1:80" ht="12.75">
      <c r="A31">
        <f>ROW(Source!A41)</f>
        <v>41</v>
      </c>
      <c r="B31">
        <v>20316619</v>
      </c>
      <c r="C31">
        <v>20316618</v>
      </c>
      <c r="D31">
        <v>7157835</v>
      </c>
      <c r="E31">
        <v>7157832</v>
      </c>
      <c r="F31">
        <v>1</v>
      </c>
      <c r="G31">
        <v>7157832</v>
      </c>
      <c r="H31">
        <v>1</v>
      </c>
      <c r="I31" t="s">
        <v>153</v>
      </c>
      <c r="L31">
        <v>1191</v>
      </c>
      <c r="Y31">
        <v>1.02</v>
      </c>
      <c r="AA31">
        <v>0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1.02</v>
      </c>
      <c r="AV31">
        <v>1</v>
      </c>
      <c r="AW31">
        <v>2</v>
      </c>
      <c r="AX31">
        <v>20316619</v>
      </c>
      <c r="AY31">
        <v>1</v>
      </c>
      <c r="AZ31">
        <v>0</v>
      </c>
      <c r="BA31">
        <v>31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B3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3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4" ht="12.75">
      <c r="A1">
        <f>ROW(Source!A24)</f>
        <v>24</v>
      </c>
      <c r="B1">
        <v>22392118</v>
      </c>
      <c r="C1">
        <v>22392117</v>
      </c>
      <c r="D1">
        <v>7157835</v>
      </c>
      <c r="E1">
        <v>7157832</v>
      </c>
      <c r="F1">
        <v>1</v>
      </c>
      <c r="G1">
        <v>7157832</v>
      </c>
      <c r="H1">
        <v>1</v>
      </c>
      <c r="I1" t="s">
        <v>153</v>
      </c>
      <c r="X1">
        <v>91.15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1</v>
      </c>
      <c r="AG1">
        <v>91.15</v>
      </c>
      <c r="AH1">
        <v>2</v>
      </c>
      <c r="AI1">
        <v>22392118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ht="12.75">
      <c r="A2">
        <f>ROW(Source!A25)</f>
        <v>25</v>
      </c>
      <c r="B2">
        <v>20316565</v>
      </c>
      <c r="C2">
        <v>20316564</v>
      </c>
      <c r="D2">
        <v>7157835</v>
      </c>
      <c r="E2">
        <v>7157832</v>
      </c>
      <c r="F2">
        <v>1</v>
      </c>
      <c r="G2">
        <v>7157832</v>
      </c>
      <c r="H2">
        <v>1</v>
      </c>
      <c r="I2" t="s">
        <v>153</v>
      </c>
      <c r="X2">
        <v>124.54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1</v>
      </c>
      <c r="AG2">
        <v>124.54</v>
      </c>
      <c r="AH2">
        <v>2</v>
      </c>
      <c r="AI2">
        <v>20316565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ht="12.75">
      <c r="A3">
        <f>ROW(Source!A25)</f>
        <v>25</v>
      </c>
      <c r="B3">
        <v>20316567</v>
      </c>
      <c r="C3">
        <v>20316564</v>
      </c>
      <c r="D3">
        <v>7159942</v>
      </c>
      <c r="E3">
        <v>7157832</v>
      </c>
      <c r="F3">
        <v>1</v>
      </c>
      <c r="G3">
        <v>7157832</v>
      </c>
      <c r="H3">
        <v>2</v>
      </c>
      <c r="I3" t="s">
        <v>153</v>
      </c>
      <c r="X3">
        <v>274.78</v>
      </c>
      <c r="Y3">
        <v>0</v>
      </c>
      <c r="Z3">
        <v>1</v>
      </c>
      <c r="AA3">
        <v>0</v>
      </c>
      <c r="AB3">
        <v>0</v>
      </c>
      <c r="AC3">
        <v>0</v>
      </c>
      <c r="AD3">
        <v>1</v>
      </c>
      <c r="AE3">
        <v>0</v>
      </c>
      <c r="AG3">
        <v>274.78</v>
      </c>
      <c r="AH3">
        <v>2</v>
      </c>
      <c r="AI3">
        <v>20316567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ht="12.75">
      <c r="A4">
        <f>ROW(Source!A25)</f>
        <v>25</v>
      </c>
      <c r="B4">
        <v>20316566</v>
      </c>
      <c r="C4">
        <v>20316564</v>
      </c>
      <c r="D4">
        <v>7231445</v>
      </c>
      <c r="E4">
        <v>1</v>
      </c>
      <c r="F4">
        <v>1</v>
      </c>
      <c r="G4">
        <v>7157832</v>
      </c>
      <c r="H4">
        <v>2</v>
      </c>
      <c r="I4" t="s">
        <v>153</v>
      </c>
      <c r="X4">
        <v>11.71</v>
      </c>
      <c r="Y4">
        <v>0</v>
      </c>
      <c r="Z4">
        <v>2.36</v>
      </c>
      <c r="AA4">
        <v>0.1</v>
      </c>
      <c r="AB4">
        <v>0</v>
      </c>
      <c r="AC4">
        <v>0</v>
      </c>
      <c r="AD4">
        <v>1</v>
      </c>
      <c r="AE4">
        <v>0</v>
      </c>
      <c r="AG4">
        <v>11.71</v>
      </c>
      <c r="AH4">
        <v>2</v>
      </c>
      <c r="AI4">
        <v>20316566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ht="12.75">
      <c r="A5">
        <f>ROW(Source!A25)</f>
        <v>25</v>
      </c>
      <c r="B5">
        <v>20316568</v>
      </c>
      <c r="C5">
        <v>20316564</v>
      </c>
      <c r="D5">
        <v>7231843</v>
      </c>
      <c r="E5">
        <v>1</v>
      </c>
      <c r="F5">
        <v>1</v>
      </c>
      <c r="G5">
        <v>7157832</v>
      </c>
      <c r="H5">
        <v>3</v>
      </c>
      <c r="I5" t="s">
        <v>153</v>
      </c>
      <c r="X5">
        <v>0.00124</v>
      </c>
      <c r="Y5">
        <v>6521.42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G5">
        <v>0.00124</v>
      </c>
      <c r="AH5">
        <v>2</v>
      </c>
      <c r="AI5">
        <v>20316568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ht="12.75">
      <c r="A6">
        <f>ROW(Source!A25)</f>
        <v>25</v>
      </c>
      <c r="B6">
        <v>20316569</v>
      </c>
      <c r="C6">
        <v>20316564</v>
      </c>
      <c r="D6">
        <v>7233164</v>
      </c>
      <c r="E6">
        <v>1</v>
      </c>
      <c r="F6">
        <v>1</v>
      </c>
      <c r="G6">
        <v>7157832</v>
      </c>
      <c r="H6">
        <v>3</v>
      </c>
      <c r="I6" t="s">
        <v>153</v>
      </c>
      <c r="X6">
        <v>0.035</v>
      </c>
      <c r="Y6">
        <v>17750.86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G6">
        <v>0.035</v>
      </c>
      <c r="AH6">
        <v>2</v>
      </c>
      <c r="AI6">
        <v>20316569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ht="12.75">
      <c r="A7">
        <f>ROW(Source!A25)</f>
        <v>25</v>
      </c>
      <c r="B7">
        <v>20316570</v>
      </c>
      <c r="C7">
        <v>20316564</v>
      </c>
      <c r="D7">
        <v>7232455</v>
      </c>
      <c r="E7">
        <v>1</v>
      </c>
      <c r="F7">
        <v>1</v>
      </c>
      <c r="G7">
        <v>7157832</v>
      </c>
      <c r="H7">
        <v>3</v>
      </c>
      <c r="I7" t="s">
        <v>153</v>
      </c>
      <c r="X7">
        <v>41.392</v>
      </c>
      <c r="Y7">
        <v>5.51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G7">
        <v>41.392</v>
      </c>
      <c r="AH7">
        <v>2</v>
      </c>
      <c r="AI7">
        <v>20316570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ht="12.75">
      <c r="A8">
        <f>ROW(Source!A25)</f>
        <v>25</v>
      </c>
      <c r="B8">
        <v>20316571</v>
      </c>
      <c r="C8">
        <v>20316564</v>
      </c>
      <c r="D8">
        <v>7231791</v>
      </c>
      <c r="E8">
        <v>1</v>
      </c>
      <c r="F8">
        <v>1</v>
      </c>
      <c r="G8">
        <v>7157832</v>
      </c>
      <c r="H8">
        <v>3</v>
      </c>
      <c r="I8" t="s">
        <v>153</v>
      </c>
      <c r="X8">
        <v>0.08</v>
      </c>
      <c r="Y8">
        <v>2472.13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G8">
        <v>0.08</v>
      </c>
      <c r="AH8">
        <v>2</v>
      </c>
      <c r="AI8">
        <v>20316571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ht="12.75">
      <c r="A9">
        <f>ROW(Source!A25)</f>
        <v>25</v>
      </c>
      <c r="B9">
        <v>20316572</v>
      </c>
      <c r="C9">
        <v>20316564</v>
      </c>
      <c r="D9">
        <v>7239957</v>
      </c>
      <c r="E9">
        <v>1</v>
      </c>
      <c r="F9">
        <v>1</v>
      </c>
      <c r="G9">
        <v>7157832</v>
      </c>
      <c r="H9">
        <v>3</v>
      </c>
      <c r="I9" t="s">
        <v>153</v>
      </c>
      <c r="X9">
        <v>290</v>
      </c>
      <c r="Y9">
        <v>4.36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G9">
        <v>290</v>
      </c>
      <c r="AH9">
        <v>2</v>
      </c>
      <c r="AI9">
        <v>20316572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ht="12.75">
      <c r="A10">
        <f>ROW(Source!A25)</f>
        <v>25</v>
      </c>
      <c r="B10">
        <v>20316573</v>
      </c>
      <c r="C10">
        <v>20316564</v>
      </c>
      <c r="D10">
        <v>7176319</v>
      </c>
      <c r="E10">
        <v>7157832</v>
      </c>
      <c r="F10">
        <v>1</v>
      </c>
      <c r="G10">
        <v>7157832</v>
      </c>
      <c r="H10">
        <v>3</v>
      </c>
      <c r="I10" t="s">
        <v>154</v>
      </c>
      <c r="K10" t="s">
        <v>155</v>
      </c>
      <c r="L10">
        <v>1327</v>
      </c>
      <c r="N10">
        <v>1005</v>
      </c>
      <c r="O10" t="s">
        <v>33</v>
      </c>
      <c r="P10" t="s">
        <v>33</v>
      </c>
      <c r="Q10">
        <v>1</v>
      </c>
      <c r="X10">
        <v>100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G10">
        <v>100</v>
      </c>
      <c r="AH10">
        <v>3</v>
      </c>
      <c r="AI10">
        <v>-1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ht="12.75">
      <c r="A11">
        <f>ROW(Source!A27)</f>
        <v>27</v>
      </c>
      <c r="B11">
        <v>20316611</v>
      </c>
      <c r="C11">
        <v>20316602</v>
      </c>
      <c r="D11">
        <v>7157835</v>
      </c>
      <c r="E11">
        <v>7157832</v>
      </c>
      <c r="F11">
        <v>1</v>
      </c>
      <c r="G11">
        <v>7157832</v>
      </c>
      <c r="H11">
        <v>1</v>
      </c>
      <c r="I11" t="s">
        <v>153</v>
      </c>
      <c r="X11">
        <v>0.27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1</v>
      </c>
      <c r="AF11" t="s">
        <v>41</v>
      </c>
      <c r="AG11">
        <v>0.3105</v>
      </c>
      <c r="AH11">
        <v>2</v>
      </c>
      <c r="AI11">
        <v>20316611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ht="12.75">
      <c r="A12">
        <f>ROW(Source!A27)</f>
        <v>27</v>
      </c>
      <c r="B12">
        <v>20316613</v>
      </c>
      <c r="C12">
        <v>20316602</v>
      </c>
      <c r="D12">
        <v>7159942</v>
      </c>
      <c r="E12">
        <v>7157832</v>
      </c>
      <c r="F12">
        <v>1</v>
      </c>
      <c r="G12">
        <v>7157832</v>
      </c>
      <c r="H12">
        <v>2</v>
      </c>
      <c r="I12" t="s">
        <v>153</v>
      </c>
      <c r="X12">
        <v>0.05</v>
      </c>
      <c r="Y12">
        <v>0</v>
      </c>
      <c r="Z12">
        <v>1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40</v>
      </c>
      <c r="AG12">
        <v>0.0625</v>
      </c>
      <c r="AH12">
        <v>2</v>
      </c>
      <c r="AI12">
        <v>20316613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ht="12.75">
      <c r="A13">
        <f>ROW(Source!A27)</f>
        <v>27</v>
      </c>
      <c r="B13">
        <v>20316612</v>
      </c>
      <c r="C13">
        <v>20316602</v>
      </c>
      <c r="D13">
        <v>7231491</v>
      </c>
      <c r="E13">
        <v>1</v>
      </c>
      <c r="F13">
        <v>1</v>
      </c>
      <c r="G13">
        <v>7157832</v>
      </c>
      <c r="H13">
        <v>2</v>
      </c>
      <c r="I13" t="s">
        <v>153</v>
      </c>
      <c r="X13">
        <v>0.2</v>
      </c>
      <c r="Y13">
        <v>0</v>
      </c>
      <c r="Z13">
        <v>0.64</v>
      </c>
      <c r="AA13">
        <v>0.04</v>
      </c>
      <c r="AB13">
        <v>0</v>
      </c>
      <c r="AC13">
        <v>0</v>
      </c>
      <c r="AD13">
        <v>1</v>
      </c>
      <c r="AE13">
        <v>0</v>
      </c>
      <c r="AF13" t="s">
        <v>40</v>
      </c>
      <c r="AG13">
        <v>0.25</v>
      </c>
      <c r="AH13">
        <v>2</v>
      </c>
      <c r="AI13">
        <v>20316612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ht="12.75">
      <c r="A14">
        <f>ROW(Source!A27)</f>
        <v>27</v>
      </c>
      <c r="B14">
        <v>20316614</v>
      </c>
      <c r="C14">
        <v>20316602</v>
      </c>
      <c r="D14">
        <v>7173724</v>
      </c>
      <c r="E14">
        <v>7157832</v>
      </c>
      <c r="F14">
        <v>1</v>
      </c>
      <c r="G14">
        <v>7157832</v>
      </c>
      <c r="H14">
        <v>3</v>
      </c>
      <c r="I14" t="s">
        <v>156</v>
      </c>
      <c r="K14" t="s">
        <v>157</v>
      </c>
      <c r="L14">
        <v>1354</v>
      </c>
      <c r="N14">
        <v>1010</v>
      </c>
      <c r="O14" t="s">
        <v>47</v>
      </c>
      <c r="P14" t="s">
        <v>47</v>
      </c>
      <c r="Q14">
        <v>1</v>
      </c>
      <c r="X14">
        <v>1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G14">
        <v>1</v>
      </c>
      <c r="AH14">
        <v>3</v>
      </c>
      <c r="AI14">
        <v>-1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ht="12.75">
      <c r="A15">
        <f>ROW(Source!A29)</f>
        <v>29</v>
      </c>
      <c r="B15">
        <v>20316577</v>
      </c>
      <c r="C15">
        <v>20316576</v>
      </c>
      <c r="D15">
        <v>7157835</v>
      </c>
      <c r="E15">
        <v>7157832</v>
      </c>
      <c r="F15">
        <v>1</v>
      </c>
      <c r="G15">
        <v>7157832</v>
      </c>
      <c r="H15">
        <v>1</v>
      </c>
      <c r="I15" t="s">
        <v>153</v>
      </c>
      <c r="X15">
        <v>81.6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1</v>
      </c>
      <c r="AG15">
        <v>81.6</v>
      </c>
      <c r="AH15">
        <v>2</v>
      </c>
      <c r="AI15">
        <v>20316577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ht="12.75">
      <c r="A16">
        <f>ROW(Source!A29)</f>
        <v>29</v>
      </c>
      <c r="B16">
        <v>20316578</v>
      </c>
      <c r="C16">
        <v>20316576</v>
      </c>
      <c r="D16">
        <v>7159951</v>
      </c>
      <c r="E16">
        <v>7157832</v>
      </c>
      <c r="F16">
        <v>1</v>
      </c>
      <c r="G16">
        <v>7157832</v>
      </c>
      <c r="H16">
        <v>3</v>
      </c>
      <c r="I16" t="s">
        <v>158</v>
      </c>
      <c r="K16" t="s">
        <v>159</v>
      </c>
      <c r="L16">
        <v>1327</v>
      </c>
      <c r="N16">
        <v>1005</v>
      </c>
      <c r="O16" t="s">
        <v>33</v>
      </c>
      <c r="P16" t="s">
        <v>33</v>
      </c>
      <c r="Q16">
        <v>1</v>
      </c>
      <c r="X16">
        <v>110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G16">
        <v>110</v>
      </c>
      <c r="AH16">
        <v>3</v>
      </c>
      <c r="AI16">
        <v>-1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ht="12.75">
      <c r="A17">
        <f>ROW(Source!A29)</f>
        <v>29</v>
      </c>
      <c r="B17">
        <v>20316579</v>
      </c>
      <c r="C17">
        <v>20316576</v>
      </c>
      <c r="D17">
        <v>7178391</v>
      </c>
      <c r="E17">
        <v>7157832</v>
      </c>
      <c r="F17">
        <v>1</v>
      </c>
      <c r="G17">
        <v>7157832</v>
      </c>
      <c r="H17">
        <v>3</v>
      </c>
      <c r="I17" t="s">
        <v>160</v>
      </c>
      <c r="K17" t="s">
        <v>161</v>
      </c>
      <c r="L17">
        <v>1348</v>
      </c>
      <c r="N17">
        <v>1009</v>
      </c>
      <c r="O17" t="s">
        <v>62</v>
      </c>
      <c r="P17" t="s">
        <v>62</v>
      </c>
      <c r="Q17">
        <v>1000</v>
      </c>
      <c r="X17">
        <v>0.25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G17">
        <v>0.25</v>
      </c>
      <c r="AH17">
        <v>3</v>
      </c>
      <c r="AI17">
        <v>-1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ht="12.75">
      <c r="A18">
        <f>ROW(Source!A32)</f>
        <v>32</v>
      </c>
      <c r="B18">
        <v>20316544</v>
      </c>
      <c r="C18">
        <v>20316543</v>
      </c>
      <c r="D18">
        <v>7157835</v>
      </c>
      <c r="E18">
        <v>7157832</v>
      </c>
      <c r="F18">
        <v>1</v>
      </c>
      <c r="G18">
        <v>7157832</v>
      </c>
      <c r="H18">
        <v>1</v>
      </c>
      <c r="I18" t="s">
        <v>153</v>
      </c>
      <c r="X18">
        <v>179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1</v>
      </c>
      <c r="AF18" t="s">
        <v>41</v>
      </c>
      <c r="AG18">
        <v>205.85</v>
      </c>
      <c r="AH18">
        <v>2</v>
      </c>
      <c r="AI18">
        <v>20316544</v>
      </c>
      <c r="AJ18">
        <v>18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ht="12.75">
      <c r="A19">
        <f>ROW(Source!A32)</f>
        <v>32</v>
      </c>
      <c r="B19">
        <v>20316545</v>
      </c>
      <c r="C19">
        <v>20316543</v>
      </c>
      <c r="D19">
        <v>7159942</v>
      </c>
      <c r="E19">
        <v>7157832</v>
      </c>
      <c r="F19">
        <v>1</v>
      </c>
      <c r="G19">
        <v>7157832</v>
      </c>
      <c r="H19">
        <v>2</v>
      </c>
      <c r="I19" t="s">
        <v>153</v>
      </c>
      <c r="X19">
        <v>87.09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40</v>
      </c>
      <c r="AG19">
        <v>108.86250000000001</v>
      </c>
      <c r="AH19">
        <v>2</v>
      </c>
      <c r="AI19">
        <v>20316545</v>
      </c>
      <c r="AJ19">
        <v>19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ht="12.75">
      <c r="A20">
        <f>ROW(Source!A32)</f>
        <v>32</v>
      </c>
      <c r="B20">
        <v>20316546</v>
      </c>
      <c r="C20">
        <v>20316543</v>
      </c>
      <c r="D20">
        <v>7157848</v>
      </c>
      <c r="E20">
        <v>7157832</v>
      </c>
      <c r="F20">
        <v>1</v>
      </c>
      <c r="G20">
        <v>7157832</v>
      </c>
      <c r="H20">
        <v>3</v>
      </c>
      <c r="I20" t="s">
        <v>162</v>
      </c>
      <c r="K20" t="s">
        <v>72</v>
      </c>
      <c r="L20">
        <v>1339</v>
      </c>
      <c r="N20">
        <v>1007</v>
      </c>
      <c r="O20" t="s">
        <v>73</v>
      </c>
      <c r="P20" t="s">
        <v>73</v>
      </c>
      <c r="Q20">
        <v>1</v>
      </c>
      <c r="X20">
        <v>0.2464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G20">
        <v>0.2464</v>
      </c>
      <c r="AH20">
        <v>3</v>
      </c>
      <c r="AI20">
        <v>-1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ht="12.75">
      <c r="A21">
        <f>ROW(Source!A32)</f>
        <v>32</v>
      </c>
      <c r="B21">
        <v>20316550</v>
      </c>
      <c r="C21">
        <v>20316543</v>
      </c>
      <c r="D21">
        <v>7182707</v>
      </c>
      <c r="E21">
        <v>7157832</v>
      </c>
      <c r="F21">
        <v>1</v>
      </c>
      <c r="G21">
        <v>7157832</v>
      </c>
      <c r="H21">
        <v>3</v>
      </c>
      <c r="I21" t="s">
        <v>153</v>
      </c>
      <c r="X21">
        <v>0.71</v>
      </c>
      <c r="Y21">
        <v>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G21">
        <v>0.71</v>
      </c>
      <c r="AH21">
        <v>2</v>
      </c>
      <c r="AI21">
        <v>20316550</v>
      </c>
      <c r="AJ21">
        <v>20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ht="12.75">
      <c r="A22">
        <f>ROW(Source!A32)</f>
        <v>32</v>
      </c>
      <c r="B22">
        <v>20316547</v>
      </c>
      <c r="C22">
        <v>20316543</v>
      </c>
      <c r="D22">
        <v>7178563</v>
      </c>
      <c r="E22">
        <v>7157832</v>
      </c>
      <c r="F22">
        <v>1</v>
      </c>
      <c r="G22">
        <v>7157832</v>
      </c>
      <c r="H22">
        <v>3</v>
      </c>
      <c r="I22" t="s">
        <v>163</v>
      </c>
      <c r="K22" t="s">
        <v>164</v>
      </c>
      <c r="L22">
        <v>1348</v>
      </c>
      <c r="N22">
        <v>1009</v>
      </c>
      <c r="O22" t="s">
        <v>62</v>
      </c>
      <c r="P22" t="s">
        <v>62</v>
      </c>
      <c r="Q22">
        <v>1000</v>
      </c>
      <c r="X22">
        <v>1.408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G22">
        <v>1.408</v>
      </c>
      <c r="AH22">
        <v>3</v>
      </c>
      <c r="AI22">
        <v>-1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ht="12.75">
      <c r="A23">
        <f>ROW(Source!A32)</f>
        <v>32</v>
      </c>
      <c r="B23">
        <v>20316548</v>
      </c>
      <c r="C23">
        <v>20316543</v>
      </c>
      <c r="D23">
        <v>7178752</v>
      </c>
      <c r="E23">
        <v>7157832</v>
      </c>
      <c r="F23">
        <v>1</v>
      </c>
      <c r="G23">
        <v>7157832</v>
      </c>
      <c r="H23">
        <v>3</v>
      </c>
      <c r="I23" t="s">
        <v>165</v>
      </c>
      <c r="K23" t="s">
        <v>166</v>
      </c>
      <c r="L23">
        <v>1339</v>
      </c>
      <c r="N23">
        <v>1007</v>
      </c>
      <c r="O23" t="s">
        <v>73</v>
      </c>
      <c r="P23" t="s">
        <v>73</v>
      </c>
      <c r="Q23">
        <v>1</v>
      </c>
      <c r="X23">
        <v>0.08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G23">
        <v>0.08</v>
      </c>
      <c r="AH23">
        <v>3</v>
      </c>
      <c r="AI23">
        <v>-1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ht="12.75">
      <c r="A24">
        <f>ROW(Source!A32)</f>
        <v>32</v>
      </c>
      <c r="B24">
        <v>20316549</v>
      </c>
      <c r="C24">
        <v>20316543</v>
      </c>
      <c r="D24">
        <v>7178753</v>
      </c>
      <c r="E24">
        <v>7157832</v>
      </c>
      <c r="F24">
        <v>1</v>
      </c>
      <c r="G24">
        <v>7157832</v>
      </c>
      <c r="H24">
        <v>3</v>
      </c>
      <c r="I24" t="s">
        <v>165</v>
      </c>
      <c r="K24" t="s">
        <v>167</v>
      </c>
      <c r="L24">
        <v>1339</v>
      </c>
      <c r="N24">
        <v>1007</v>
      </c>
      <c r="O24" t="s">
        <v>73</v>
      </c>
      <c r="P24" t="s">
        <v>73</v>
      </c>
      <c r="Q24">
        <v>1</v>
      </c>
      <c r="X24">
        <v>3.44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G24">
        <v>3.44</v>
      </c>
      <c r="AH24">
        <v>3</v>
      </c>
      <c r="AI24">
        <v>-1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ht="12.75">
      <c r="A25">
        <f>ROW(Source!A37)</f>
        <v>37</v>
      </c>
      <c r="B25">
        <v>20316586</v>
      </c>
      <c r="C25">
        <v>20316563</v>
      </c>
      <c r="D25">
        <v>7157835</v>
      </c>
      <c r="E25">
        <v>7157832</v>
      </c>
      <c r="F25">
        <v>1</v>
      </c>
      <c r="G25">
        <v>7157832</v>
      </c>
      <c r="H25">
        <v>1</v>
      </c>
      <c r="I25" t="s">
        <v>153</v>
      </c>
      <c r="X25">
        <v>46.8</v>
      </c>
      <c r="Y25">
        <v>0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1</v>
      </c>
      <c r="AF25" t="s">
        <v>41</v>
      </c>
      <c r="AG25">
        <v>53.81999999999999</v>
      </c>
      <c r="AH25">
        <v>2</v>
      </c>
      <c r="AI25">
        <v>20316586</v>
      </c>
      <c r="AJ25">
        <v>25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ht="12.75">
      <c r="A26">
        <f>ROW(Source!A37)</f>
        <v>37</v>
      </c>
      <c r="B26">
        <v>20316587</v>
      </c>
      <c r="C26">
        <v>20316563</v>
      </c>
      <c r="D26">
        <v>7159942</v>
      </c>
      <c r="E26">
        <v>7157832</v>
      </c>
      <c r="F26">
        <v>1</v>
      </c>
      <c r="G26">
        <v>7157832</v>
      </c>
      <c r="H26">
        <v>2</v>
      </c>
      <c r="I26" t="s">
        <v>153</v>
      </c>
      <c r="X26">
        <v>26.05</v>
      </c>
      <c r="Y26">
        <v>0</v>
      </c>
      <c r="Z26">
        <v>1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40</v>
      </c>
      <c r="AG26">
        <v>32.5625</v>
      </c>
      <c r="AH26">
        <v>2</v>
      </c>
      <c r="AI26">
        <v>20316587</v>
      </c>
      <c r="AJ26">
        <v>26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ht="12.75">
      <c r="A27">
        <f>ROW(Source!A37)</f>
        <v>37</v>
      </c>
      <c r="B27">
        <v>20316591</v>
      </c>
      <c r="C27">
        <v>20316563</v>
      </c>
      <c r="D27">
        <v>7182707</v>
      </c>
      <c r="E27">
        <v>7157832</v>
      </c>
      <c r="F27">
        <v>1</v>
      </c>
      <c r="G27">
        <v>7157832</v>
      </c>
      <c r="H27">
        <v>3</v>
      </c>
      <c r="I27" t="s">
        <v>153</v>
      </c>
      <c r="X27">
        <v>4.34</v>
      </c>
      <c r="Y27">
        <v>1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G27">
        <v>4.34</v>
      </c>
      <c r="AH27">
        <v>2</v>
      </c>
      <c r="AI27">
        <v>20316591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ht="12.75">
      <c r="A28">
        <f>ROW(Source!A37)</f>
        <v>37</v>
      </c>
      <c r="B28">
        <v>20316588</v>
      </c>
      <c r="C28">
        <v>20316563</v>
      </c>
      <c r="D28">
        <v>7164018</v>
      </c>
      <c r="E28">
        <v>7157832</v>
      </c>
      <c r="F28">
        <v>1</v>
      </c>
      <c r="G28">
        <v>7157832</v>
      </c>
      <c r="H28">
        <v>3</v>
      </c>
      <c r="I28" t="s">
        <v>168</v>
      </c>
      <c r="K28" t="s">
        <v>169</v>
      </c>
      <c r="L28">
        <v>1348</v>
      </c>
      <c r="N28">
        <v>1009</v>
      </c>
      <c r="O28" t="s">
        <v>62</v>
      </c>
      <c r="P28" t="s">
        <v>62</v>
      </c>
      <c r="Q28">
        <v>1000</v>
      </c>
      <c r="X28">
        <v>0.0507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G28">
        <v>0.0507</v>
      </c>
      <c r="AH28">
        <v>3</v>
      </c>
      <c r="AI28">
        <v>-1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ht="12.75">
      <c r="A29">
        <f>ROW(Source!A37)</f>
        <v>37</v>
      </c>
      <c r="B29">
        <v>20316589</v>
      </c>
      <c r="C29">
        <v>20316563</v>
      </c>
      <c r="D29">
        <v>7164144</v>
      </c>
      <c r="E29">
        <v>7157832</v>
      </c>
      <c r="F29">
        <v>1</v>
      </c>
      <c r="G29">
        <v>7157832</v>
      </c>
      <c r="H29">
        <v>3</v>
      </c>
      <c r="I29" t="s">
        <v>170</v>
      </c>
      <c r="K29" t="s">
        <v>171</v>
      </c>
      <c r="L29">
        <v>1348</v>
      </c>
      <c r="N29">
        <v>1009</v>
      </c>
      <c r="O29" t="s">
        <v>62</v>
      </c>
      <c r="P29" t="s">
        <v>62</v>
      </c>
      <c r="Q29">
        <v>1000</v>
      </c>
      <c r="X29">
        <v>0.0251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G29">
        <v>0.0251</v>
      </c>
      <c r="AH29">
        <v>3</v>
      </c>
      <c r="AI29">
        <v>-1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ht="12.75">
      <c r="A30">
        <f>ROW(Source!A37)</f>
        <v>37</v>
      </c>
      <c r="B30">
        <v>20316590</v>
      </c>
      <c r="C30">
        <v>20316563</v>
      </c>
      <c r="D30">
        <v>7164173</v>
      </c>
      <c r="E30">
        <v>7157832</v>
      </c>
      <c r="F30">
        <v>1</v>
      </c>
      <c r="G30">
        <v>7157832</v>
      </c>
      <c r="H30">
        <v>3</v>
      </c>
      <c r="I30" t="s">
        <v>172</v>
      </c>
      <c r="K30" t="s">
        <v>173</v>
      </c>
      <c r="L30">
        <v>1346</v>
      </c>
      <c r="N30">
        <v>1009</v>
      </c>
      <c r="O30" t="s">
        <v>104</v>
      </c>
      <c r="P30" t="s">
        <v>104</v>
      </c>
      <c r="Q30">
        <v>1</v>
      </c>
      <c r="X30">
        <v>12.8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G30">
        <v>12.8</v>
      </c>
      <c r="AH30">
        <v>3</v>
      </c>
      <c r="AI30">
        <v>-1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ht="12.75">
      <c r="A31">
        <f>ROW(Source!A41)</f>
        <v>41</v>
      </c>
      <c r="B31">
        <v>20316619</v>
      </c>
      <c r="C31">
        <v>20316618</v>
      </c>
      <c r="D31">
        <v>7157835</v>
      </c>
      <c r="E31">
        <v>7157832</v>
      </c>
      <c r="F31">
        <v>1</v>
      </c>
      <c r="G31">
        <v>7157832</v>
      </c>
      <c r="H31">
        <v>1</v>
      </c>
      <c r="I31" t="s">
        <v>153</v>
      </c>
      <c r="X31">
        <v>1.02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1</v>
      </c>
      <c r="AG31">
        <v>1.02</v>
      </c>
      <c r="AH31">
        <v>2</v>
      </c>
      <c r="AI31">
        <v>20316619</v>
      </c>
      <c r="AJ31">
        <v>31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 Алексевич</cp:lastModifiedBy>
  <cp:lastPrinted>2013-02-22T13:31:15Z</cp:lastPrinted>
  <dcterms:modified xsi:type="dcterms:W3CDTF">2013-05-23T13:29:34Z</dcterms:modified>
  <cp:category/>
  <cp:version/>
  <cp:contentType/>
  <cp:contentStatus/>
</cp:coreProperties>
</file>